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2\ACOUSTICS\1514-10 Species Mgmt\MM\GUID\HEAR\2018 REV\2018 PC (tool)\Public comments\IAGC\FINAL COMMENTS\508\"/>
    </mc:Choice>
  </mc:AlternateContent>
  <bookViews>
    <workbookView xWindow="0" yWindow="0" windowWidth="20490" windowHeight="6420" tabRatio="704"/>
  </bookViews>
  <sheets>
    <sheet name="Tab F - Revised isopleth calcu " sheetId="1" r:id="rId1"/>
    <sheet name="Tab F1 - Unit conversion" sheetId="2" r:id="rId2"/>
    <sheet name="Tab F2 - wtd SEL calculator" sheetId="3" r:id="rId3"/>
    <sheet name="Tab F3 - Wtg Values Table" sheetId="4" r:id="rId4"/>
    <sheet name="Tab F4 - TOB Center Freq Calc" sheetId="7" r:id="rId5"/>
    <sheet name="Tab F5 - TOB Factor Table" sheetId="8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B27" i="1" s="1"/>
  <c r="N44" i="7" l="1"/>
  <c r="N45" i="7"/>
  <c r="N43" i="7"/>
  <c r="D43" i="7"/>
  <c r="D44" i="7"/>
  <c r="D45" i="7"/>
  <c r="E2" i="8" l="1"/>
  <c r="E3" i="8"/>
  <c r="E4" i="8"/>
  <c r="E5" i="8"/>
  <c r="E6" i="8"/>
  <c r="E7" i="8"/>
  <c r="E8" i="8"/>
  <c r="N20" i="7" l="1"/>
  <c r="J19" i="7"/>
  <c r="J18" i="7"/>
  <c r="N18" i="7" s="1"/>
  <c r="N19" i="7" l="1"/>
  <c r="N21" i="7"/>
  <c r="N34" i="7"/>
  <c r="N35" i="7"/>
  <c r="N36" i="7"/>
  <c r="N37" i="7"/>
  <c r="N38" i="7"/>
  <c r="N39" i="7"/>
  <c r="N40" i="7"/>
  <c r="N41" i="7"/>
  <c r="N42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20" i="7"/>
  <c r="M33" i="7" l="1"/>
  <c r="N33" i="7" s="1"/>
  <c r="M32" i="7"/>
  <c r="N32" i="7" s="1"/>
  <c r="M31" i="7"/>
  <c r="N31" i="7" s="1"/>
  <c r="M30" i="7"/>
  <c r="N30" i="7" s="1"/>
  <c r="M29" i="7"/>
  <c r="N29" i="7" s="1"/>
  <c r="M28" i="7"/>
  <c r="N28" i="7" s="1"/>
  <c r="M27" i="7"/>
  <c r="N27" i="7" s="1"/>
  <c r="M26" i="7"/>
  <c r="N26" i="7" s="1"/>
  <c r="M25" i="7"/>
  <c r="N25" i="7" s="1"/>
  <c r="M24" i="7"/>
  <c r="N24" i="7" s="1"/>
  <c r="M23" i="7"/>
  <c r="N23" i="7" s="1"/>
  <c r="M22" i="7"/>
  <c r="N22" i="7" s="1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E14" i="2" l="1"/>
  <c r="G24" i="1" l="1"/>
  <c r="R3" i="7"/>
  <c r="O4" i="7" s="1"/>
  <c r="AU48" i="3" l="1"/>
  <c r="AJ48" i="3"/>
  <c r="AR48" i="3"/>
  <c r="AB48" i="3"/>
  <c r="L48" i="3"/>
  <c r="D48" i="3"/>
  <c r="T48" i="3"/>
  <c r="O45" i="7"/>
  <c r="AP45" i="3" s="1"/>
  <c r="O24" i="7"/>
  <c r="AP24" i="3" s="1"/>
  <c r="O27" i="7"/>
  <c r="AP27" i="3" s="1"/>
  <c r="O12" i="7"/>
  <c r="O44" i="7"/>
  <c r="AP44" i="3" s="1"/>
  <c r="O7" i="7"/>
  <c r="AP7" i="3" s="1"/>
  <c r="O22" i="7"/>
  <c r="AP22" i="3" s="1"/>
  <c r="O13" i="7"/>
  <c r="O40" i="7"/>
  <c r="AP40" i="3" s="1"/>
  <c r="O16" i="7"/>
  <c r="O14" i="7"/>
  <c r="O23" i="7"/>
  <c r="AP23" i="3" s="1"/>
  <c r="O26" i="7"/>
  <c r="AP26" i="3" s="1"/>
  <c r="O29" i="7"/>
  <c r="AP29" i="3" s="1"/>
  <c r="O10" i="7"/>
  <c r="AP10" i="3" s="1"/>
  <c r="O6" i="7"/>
  <c r="AP6" i="3" s="1"/>
  <c r="O20" i="7"/>
  <c r="AP20" i="3" s="1"/>
  <c r="O19" i="7"/>
  <c r="AP19" i="3" s="1"/>
  <c r="O8" i="7"/>
  <c r="AP8" i="3" s="1"/>
  <c r="O18" i="7"/>
  <c r="O38" i="7"/>
  <c r="AP38" i="3" s="1"/>
  <c r="O42" i="7"/>
  <c r="AP42" i="3" s="1"/>
  <c r="O33" i="7"/>
  <c r="AP33" i="3" s="1"/>
  <c r="O36" i="7"/>
  <c r="AP36" i="3" s="1"/>
  <c r="O30" i="7"/>
  <c r="AP30" i="3" s="1"/>
  <c r="O32" i="7"/>
  <c r="AP32" i="3" s="1"/>
  <c r="O5" i="7"/>
  <c r="AP5" i="3" s="1"/>
  <c r="O25" i="7"/>
  <c r="AP25" i="3" s="1"/>
  <c r="O41" i="7"/>
  <c r="AP41" i="3" s="1"/>
  <c r="O21" i="7"/>
  <c r="AP21" i="3" s="1"/>
  <c r="O11" i="7"/>
  <c r="O28" i="7"/>
  <c r="AP28" i="3" s="1"/>
  <c r="O35" i="7"/>
  <c r="AP35" i="3" s="1"/>
  <c r="O17" i="7"/>
  <c r="O31" i="7"/>
  <c r="AP31" i="3" s="1"/>
  <c r="O39" i="7"/>
  <c r="AP39" i="3" s="1"/>
  <c r="O9" i="7"/>
  <c r="AP9" i="3" s="1"/>
  <c r="AP4" i="3"/>
  <c r="O34" i="7"/>
  <c r="AP34" i="3" s="1"/>
  <c r="O15" i="7"/>
  <c r="O37" i="7"/>
  <c r="AP37" i="3" s="1"/>
  <c r="O43" i="7"/>
  <c r="AP43" i="3" s="1"/>
  <c r="B30" i="1"/>
  <c r="AQ36" i="3" l="1"/>
  <c r="AT36" i="3" s="1"/>
  <c r="AU36" i="3" s="1"/>
  <c r="AQ33" i="3"/>
  <c r="AR33" i="3" s="1"/>
  <c r="B14" i="3"/>
  <c r="C14" i="3" s="1"/>
  <c r="AP14" i="3"/>
  <c r="AQ40" i="3"/>
  <c r="AR40" i="3" s="1"/>
  <c r="AQ23" i="3"/>
  <c r="AR23" i="3" s="1"/>
  <c r="AQ22" i="3"/>
  <c r="AR22" i="3" s="1"/>
  <c r="AQ31" i="3"/>
  <c r="AR31" i="3" s="1"/>
  <c r="AQ28" i="3"/>
  <c r="AR28" i="3" s="1"/>
  <c r="AQ7" i="3"/>
  <c r="AR7" i="3" s="1"/>
  <c r="AQ39" i="3"/>
  <c r="AR39" i="3" s="1"/>
  <c r="AQ38" i="3"/>
  <c r="AT38" i="3" s="1"/>
  <c r="AU38" i="3" s="1"/>
  <c r="AQ44" i="3"/>
  <c r="AR44" i="3" s="1"/>
  <c r="AQ42" i="3"/>
  <c r="AR42" i="3" s="1"/>
  <c r="AQ35" i="3"/>
  <c r="AR35" i="3" s="1"/>
  <c r="AQ8" i="3"/>
  <c r="AR8" i="3" s="1"/>
  <c r="AQ37" i="3"/>
  <c r="AT37" i="3" s="1"/>
  <c r="AU37" i="3" s="1"/>
  <c r="B15" i="3"/>
  <c r="C15" i="3" s="1"/>
  <c r="AP15" i="3"/>
  <c r="AQ25" i="3"/>
  <c r="AR25" i="3" s="1"/>
  <c r="AQ6" i="3"/>
  <c r="AR6" i="3" s="1"/>
  <c r="B12" i="3"/>
  <c r="C12" i="3" s="1"/>
  <c r="AP12" i="3"/>
  <c r="B17" i="3"/>
  <c r="C17" i="3" s="1"/>
  <c r="AP17" i="3"/>
  <c r="B13" i="3"/>
  <c r="C13" i="3" s="1"/>
  <c r="AP13" i="3"/>
  <c r="AQ19" i="3"/>
  <c r="AR19" i="3" s="1"/>
  <c r="AQ34" i="3"/>
  <c r="AT34" i="3" s="1"/>
  <c r="AU34" i="3" s="1"/>
  <c r="AQ27" i="3"/>
  <c r="AT27" i="3" s="1"/>
  <c r="AU27" i="3" s="1"/>
  <c r="B16" i="3"/>
  <c r="C16" i="3" s="1"/>
  <c r="AP16" i="3"/>
  <c r="B18" i="3"/>
  <c r="C18" i="3" s="1"/>
  <c r="AP18" i="3"/>
  <c r="B11" i="3"/>
  <c r="C11" i="3" s="1"/>
  <c r="AP11" i="3"/>
  <c r="AQ43" i="3"/>
  <c r="AT43" i="3" s="1"/>
  <c r="AU43" i="3" s="1"/>
  <c r="AQ41" i="3"/>
  <c r="AR41" i="3" s="1"/>
  <c r="AQ5" i="3"/>
  <c r="AR5" i="3" s="1"/>
  <c r="AQ4" i="3"/>
  <c r="AT4" i="3" s="1"/>
  <c r="AU4" i="3" s="1"/>
  <c r="AQ32" i="3"/>
  <c r="AR32" i="3" s="1"/>
  <c r="AQ29" i="3"/>
  <c r="AT29" i="3" s="1"/>
  <c r="AU29" i="3" s="1"/>
  <c r="AQ24" i="3"/>
  <c r="AR24" i="3" s="1"/>
  <c r="AQ21" i="3"/>
  <c r="AT21" i="3" s="1"/>
  <c r="AU21" i="3" s="1"/>
  <c r="AQ20" i="3"/>
  <c r="AT20" i="3" s="1"/>
  <c r="AU20" i="3" s="1"/>
  <c r="AQ10" i="3"/>
  <c r="AR10" i="3" s="1"/>
  <c r="AQ9" i="3"/>
  <c r="AR9" i="3" s="1"/>
  <c r="AQ30" i="3"/>
  <c r="AR30" i="3" s="1"/>
  <c r="AQ26" i="3"/>
  <c r="AR26" i="3" s="1"/>
  <c r="AQ45" i="3"/>
  <c r="AR45" i="3" s="1"/>
  <c r="Z19" i="3"/>
  <c r="AA19" i="3" s="1"/>
  <c r="B19" i="3"/>
  <c r="C19" i="3" s="1"/>
  <c r="Z44" i="3"/>
  <c r="AA44" i="3" s="1"/>
  <c r="R44" i="3"/>
  <c r="S44" i="3" s="1"/>
  <c r="AH44" i="3"/>
  <c r="AI44" i="3" s="1"/>
  <c r="J44" i="3"/>
  <c r="K44" i="3" s="1"/>
  <c r="B44" i="3"/>
  <c r="C44" i="3" s="1"/>
  <c r="J43" i="3"/>
  <c r="K43" i="3" s="1"/>
  <c r="AH43" i="3"/>
  <c r="AI43" i="3" s="1"/>
  <c r="Z43" i="3"/>
  <c r="AA43" i="3" s="1"/>
  <c r="R43" i="3"/>
  <c r="S43" i="3" s="1"/>
  <c r="B43" i="3"/>
  <c r="C43" i="3" s="1"/>
  <c r="B20" i="3"/>
  <c r="C20" i="3" s="1"/>
  <c r="AH20" i="3"/>
  <c r="Z20" i="3"/>
  <c r="AA20" i="3" s="1"/>
  <c r="B45" i="3"/>
  <c r="C45" i="3" s="1"/>
  <c r="Z45" i="3"/>
  <c r="AA45" i="3" s="1"/>
  <c r="R45" i="3"/>
  <c r="S45" i="3" s="1"/>
  <c r="J45" i="3"/>
  <c r="K45" i="3" s="1"/>
  <c r="AH45" i="3"/>
  <c r="AI45" i="3" s="1"/>
  <c r="Z39" i="3"/>
  <c r="AA39" i="3" s="1"/>
  <c r="J39" i="3"/>
  <c r="K39" i="3" s="1"/>
  <c r="R39" i="3"/>
  <c r="S39" i="3" s="1"/>
  <c r="AH39" i="3"/>
  <c r="AI39" i="3" s="1"/>
  <c r="B39" i="3"/>
  <c r="C39" i="3" s="1"/>
  <c r="Z38" i="3"/>
  <c r="AA38" i="3" s="1"/>
  <c r="B38" i="3"/>
  <c r="C38" i="3" s="1"/>
  <c r="J38" i="3"/>
  <c r="K38" i="3" s="1"/>
  <c r="R38" i="3"/>
  <c r="S38" i="3" s="1"/>
  <c r="AH38" i="3"/>
  <c r="AI38" i="3" s="1"/>
  <c r="Z23" i="3"/>
  <c r="AA23" i="3" s="1"/>
  <c r="B23" i="3"/>
  <c r="C23" i="3" s="1"/>
  <c r="AH23" i="3"/>
  <c r="AI23" i="3" s="1"/>
  <c r="AH42" i="3"/>
  <c r="AI42" i="3" s="1"/>
  <c r="R42" i="3"/>
  <c r="S42" i="3" s="1"/>
  <c r="Z42" i="3"/>
  <c r="AA42" i="3" s="1"/>
  <c r="J42" i="3"/>
  <c r="K42" i="3" s="1"/>
  <c r="B42" i="3"/>
  <c r="C42" i="3" s="1"/>
  <c r="B22" i="3"/>
  <c r="C22" i="3" s="1"/>
  <c r="Z22" i="3"/>
  <c r="AA22" i="3" s="1"/>
  <c r="AH22" i="3"/>
  <c r="AI22" i="3" s="1"/>
  <c r="B36" i="3"/>
  <c r="C36" i="3" s="1"/>
  <c r="J36" i="3"/>
  <c r="K36" i="3" s="1"/>
  <c r="R36" i="3"/>
  <c r="S36" i="3" s="1"/>
  <c r="AH36" i="3"/>
  <c r="AI36" i="3" s="1"/>
  <c r="Z36" i="3"/>
  <c r="AA36" i="3" s="1"/>
  <c r="B35" i="3"/>
  <c r="C35" i="3" s="1"/>
  <c r="J35" i="3"/>
  <c r="K35" i="3" s="1"/>
  <c r="R35" i="3"/>
  <c r="S35" i="3" s="1"/>
  <c r="AH35" i="3"/>
  <c r="AI35" i="3" s="1"/>
  <c r="Z35" i="3"/>
  <c r="AA35" i="3" s="1"/>
  <c r="AH28" i="3"/>
  <c r="AI28" i="3" s="1"/>
  <c r="Z28" i="3"/>
  <c r="AA28" i="3" s="1"/>
  <c r="J28" i="3"/>
  <c r="K28" i="3" s="1"/>
  <c r="B28" i="3"/>
  <c r="C28" i="3" s="1"/>
  <c r="R28" i="3"/>
  <c r="S28" i="3" s="1"/>
  <c r="B21" i="3"/>
  <c r="C21" i="3" s="1"/>
  <c r="AH21" i="3"/>
  <c r="Z21" i="3"/>
  <c r="AA21" i="3" s="1"/>
  <c r="Z40" i="3"/>
  <c r="AA40" i="3" s="1"/>
  <c r="AH40" i="3"/>
  <c r="AI40" i="3" s="1"/>
  <c r="B40" i="3"/>
  <c r="C40" i="3" s="1"/>
  <c r="R40" i="3"/>
  <c r="S40" i="3" s="1"/>
  <c r="J40" i="3"/>
  <c r="K40" i="3" s="1"/>
  <c r="B25" i="3"/>
  <c r="C25" i="3" s="1"/>
  <c r="J25" i="3"/>
  <c r="K25" i="3" s="1"/>
  <c r="AH25" i="3"/>
  <c r="AI25" i="3" s="1"/>
  <c r="Z25" i="3"/>
  <c r="AA25" i="3" s="1"/>
  <c r="J33" i="3"/>
  <c r="K33" i="3" s="1"/>
  <c r="R33" i="3"/>
  <c r="S33" i="3" s="1"/>
  <c r="B33" i="3"/>
  <c r="C33" i="3" s="1"/>
  <c r="AH33" i="3"/>
  <c r="AI33" i="3" s="1"/>
  <c r="Z33" i="3"/>
  <c r="AA33" i="3" s="1"/>
  <c r="Z37" i="3"/>
  <c r="AA37" i="3" s="1"/>
  <c r="B37" i="3"/>
  <c r="C37" i="3" s="1"/>
  <c r="J37" i="3"/>
  <c r="K37" i="3" s="1"/>
  <c r="R37" i="3"/>
  <c r="S37" i="3" s="1"/>
  <c r="AH37" i="3"/>
  <c r="AI37" i="3" s="1"/>
  <c r="R41" i="3"/>
  <c r="S41" i="3" s="1"/>
  <c r="AH41" i="3"/>
  <c r="AI41" i="3" s="1"/>
  <c r="Z41" i="3"/>
  <c r="AA41" i="3" s="1"/>
  <c r="B41" i="3"/>
  <c r="C41" i="3" s="1"/>
  <c r="J41" i="3"/>
  <c r="K41" i="3" s="1"/>
  <c r="B34" i="3"/>
  <c r="C34" i="3" s="1"/>
  <c r="J34" i="3"/>
  <c r="K34" i="3" s="1"/>
  <c r="R34" i="3"/>
  <c r="S34" i="3" s="1"/>
  <c r="AH34" i="3"/>
  <c r="AI34" i="3" s="1"/>
  <c r="Z34" i="3"/>
  <c r="AA34" i="3" s="1"/>
  <c r="Z27" i="3"/>
  <c r="AA27" i="3" s="1"/>
  <c r="R27" i="3"/>
  <c r="S27" i="3" s="1"/>
  <c r="B27" i="3"/>
  <c r="C27" i="3" s="1"/>
  <c r="J27" i="3"/>
  <c r="K27" i="3" s="1"/>
  <c r="AH27" i="3"/>
  <c r="AI27" i="3" s="1"/>
  <c r="R31" i="3"/>
  <c r="S31" i="3" s="1"/>
  <c r="AH31" i="3"/>
  <c r="AI31" i="3" s="1"/>
  <c r="J31" i="3"/>
  <c r="K31" i="3" s="1"/>
  <c r="Z31" i="3"/>
  <c r="AA31" i="3" s="1"/>
  <c r="B31" i="3"/>
  <c r="C31" i="3" s="1"/>
  <c r="J32" i="3"/>
  <c r="K32" i="3" s="1"/>
  <c r="R32" i="3"/>
  <c r="S32" i="3" s="1"/>
  <c r="AH32" i="3"/>
  <c r="AI32" i="3" s="1"/>
  <c r="Z32" i="3"/>
  <c r="AA32" i="3" s="1"/>
  <c r="B32" i="3"/>
  <c r="C32" i="3" s="1"/>
  <c r="AH29" i="3"/>
  <c r="AI29" i="3" s="1"/>
  <c r="Z29" i="3"/>
  <c r="AA29" i="3" s="1"/>
  <c r="B29" i="3"/>
  <c r="C29" i="3" s="1"/>
  <c r="R29" i="3"/>
  <c r="S29" i="3" s="1"/>
  <c r="J29" i="3"/>
  <c r="K29" i="3" s="1"/>
  <c r="Z24" i="3"/>
  <c r="AA24" i="3" s="1"/>
  <c r="J24" i="3"/>
  <c r="K24" i="3" s="1"/>
  <c r="B24" i="3"/>
  <c r="C24" i="3" s="1"/>
  <c r="AH24" i="3"/>
  <c r="AI24" i="3" s="1"/>
  <c r="AH30" i="3"/>
  <c r="AI30" i="3" s="1"/>
  <c r="Z30" i="3"/>
  <c r="AA30" i="3" s="1"/>
  <c r="B30" i="3"/>
  <c r="C30" i="3" s="1"/>
  <c r="R30" i="3"/>
  <c r="S30" i="3" s="1"/>
  <c r="J30" i="3"/>
  <c r="K30" i="3" s="1"/>
  <c r="Z26" i="3"/>
  <c r="AA26" i="3" s="1"/>
  <c r="B26" i="3"/>
  <c r="C26" i="3" s="1"/>
  <c r="AH26" i="3"/>
  <c r="AI26" i="3" s="1"/>
  <c r="J26" i="3"/>
  <c r="K26" i="3" s="1"/>
  <c r="G23" i="1"/>
  <c r="AR21" i="3" l="1"/>
  <c r="AT25" i="3"/>
  <c r="AU25" i="3" s="1"/>
  <c r="AT30" i="3"/>
  <c r="AU30" i="3" s="1"/>
  <c r="AR34" i="3"/>
  <c r="AT41" i="3"/>
  <c r="AU41" i="3" s="1"/>
  <c r="AT10" i="3"/>
  <c r="AU10" i="3" s="1"/>
  <c r="AR20" i="3"/>
  <c r="AT19" i="3"/>
  <c r="AU19" i="3" s="1"/>
  <c r="AR43" i="3"/>
  <c r="AR37" i="3"/>
  <c r="AT23" i="3"/>
  <c r="AU23" i="3" s="1"/>
  <c r="AT45" i="3"/>
  <c r="AU45" i="3" s="1"/>
  <c r="AT24" i="3"/>
  <c r="AU24" i="3" s="1"/>
  <c r="AQ18" i="3"/>
  <c r="AR18" i="3" s="1"/>
  <c r="AT42" i="3"/>
  <c r="AU42" i="3" s="1"/>
  <c r="AT5" i="3"/>
  <c r="AU5" i="3" s="1"/>
  <c r="AQ13" i="3"/>
  <c r="AT13" i="3" s="1"/>
  <c r="AU13" i="3" s="1"/>
  <c r="AQ15" i="3"/>
  <c r="AR15" i="3" s="1"/>
  <c r="AQ16" i="3"/>
  <c r="AT16" i="3" s="1"/>
  <c r="AU16" i="3" s="1"/>
  <c r="AT28" i="3"/>
  <c r="AU28" i="3" s="1"/>
  <c r="AT40" i="3"/>
  <c r="AU40" i="3" s="1"/>
  <c r="AQ17" i="3"/>
  <c r="AR17" i="3" s="1"/>
  <c r="AT44" i="3"/>
  <c r="AU44" i="3" s="1"/>
  <c r="AR29" i="3"/>
  <c r="AR27" i="3"/>
  <c r="AT31" i="3"/>
  <c r="AU31" i="3" s="1"/>
  <c r="AQ14" i="3"/>
  <c r="AR14" i="3" s="1"/>
  <c r="AI20" i="3"/>
  <c r="AJ20" i="3" s="1"/>
  <c r="AT9" i="3"/>
  <c r="AU9" i="3" s="1"/>
  <c r="AQ12" i="3"/>
  <c r="AT12" i="3" s="1"/>
  <c r="AU12" i="3" s="1"/>
  <c r="AR38" i="3"/>
  <c r="AT8" i="3"/>
  <c r="AU8" i="3" s="1"/>
  <c r="AT32" i="3"/>
  <c r="AU32" i="3" s="1"/>
  <c r="AT6" i="3"/>
  <c r="AU6" i="3" s="1"/>
  <c r="AT39" i="3"/>
  <c r="AU39" i="3" s="1"/>
  <c r="AT22" i="3"/>
  <c r="AU22" i="3" s="1"/>
  <c r="AT33" i="3"/>
  <c r="AU33" i="3" s="1"/>
  <c r="AI21" i="3"/>
  <c r="AJ21" i="3" s="1"/>
  <c r="AR4" i="3"/>
  <c r="AT35" i="3"/>
  <c r="AU35" i="3" s="1"/>
  <c r="AT26" i="3"/>
  <c r="AU26" i="3" s="1"/>
  <c r="AQ11" i="3"/>
  <c r="AR11" i="3" s="1"/>
  <c r="AT7" i="3"/>
  <c r="AU7" i="3" s="1"/>
  <c r="AR36" i="3"/>
  <c r="D34" i="3"/>
  <c r="D31" i="3"/>
  <c r="D30" i="3"/>
  <c r="T32" i="3"/>
  <c r="M30" i="3"/>
  <c r="U33" i="3"/>
  <c r="AC43" i="3"/>
  <c r="AK41" i="3"/>
  <c r="M41" i="3"/>
  <c r="U41" i="3"/>
  <c r="AC40" i="3"/>
  <c r="AC20" i="3"/>
  <c r="AB45" i="3"/>
  <c r="M33" i="3"/>
  <c r="M25" i="3"/>
  <c r="AB34" i="3"/>
  <c r="AC28" i="3"/>
  <c r="M31" i="3"/>
  <c r="M34" i="3"/>
  <c r="D28" i="3"/>
  <c r="AK34" i="3"/>
  <c r="AC30" i="3"/>
  <c r="AJ24" i="3"/>
  <c r="AK30" i="3"/>
  <c r="AK40" i="3"/>
  <c r="AK32" i="3"/>
  <c r="M32" i="3"/>
  <c r="AB25" i="3"/>
  <c r="AK27" i="3"/>
  <c r="M27" i="3"/>
  <c r="AC27" i="3"/>
  <c r="E32" i="3"/>
  <c r="F32" i="3" s="1"/>
  <c r="G32" i="3" s="1"/>
  <c r="E20" i="3"/>
  <c r="F20" i="3" s="1"/>
  <c r="G20" i="3" s="1"/>
  <c r="D41" i="3"/>
  <c r="E24" i="3"/>
  <c r="F24" i="3" s="1"/>
  <c r="G24" i="3" s="1"/>
  <c r="E34" i="3"/>
  <c r="F34" i="3" s="1"/>
  <c r="G34" i="3" s="1"/>
  <c r="E25" i="3"/>
  <c r="F25" i="3" s="1"/>
  <c r="G25" i="3" s="1"/>
  <c r="E22" i="3"/>
  <c r="F22" i="3" s="1"/>
  <c r="G22" i="3" s="1"/>
  <c r="E42" i="3"/>
  <c r="F42" i="3" s="1"/>
  <c r="G42" i="3" s="1"/>
  <c r="D22" i="3"/>
  <c r="D42" i="3"/>
  <c r="E27" i="3"/>
  <c r="F27" i="3" s="1"/>
  <c r="G27" i="3" s="1"/>
  <c r="E30" i="3"/>
  <c r="F30" i="3" s="1"/>
  <c r="G30" i="3" s="1"/>
  <c r="D35" i="3"/>
  <c r="E35" i="3"/>
  <c r="F35" i="3" s="1"/>
  <c r="G35" i="3" s="1"/>
  <c r="D20" i="3"/>
  <c r="E40" i="3"/>
  <c r="F40" i="3" s="1"/>
  <c r="G40" i="3" s="1"/>
  <c r="E28" i="3"/>
  <c r="F28" i="3" s="1"/>
  <c r="G28" i="3" s="1"/>
  <c r="D40" i="3"/>
  <c r="D21" i="3"/>
  <c r="E33" i="3"/>
  <c r="F33" i="3" s="1"/>
  <c r="G33" i="3" s="1"/>
  <c r="D33" i="3"/>
  <c r="E18" i="3"/>
  <c r="F18" i="3" s="1"/>
  <c r="G18" i="3" s="1"/>
  <c r="E21" i="3"/>
  <c r="F21" i="3" s="1"/>
  <c r="G21" i="3" s="1"/>
  <c r="E31" i="3"/>
  <c r="F31" i="3" s="1"/>
  <c r="G31" i="3" s="1"/>
  <c r="AK29" i="3"/>
  <c r="AK36" i="3"/>
  <c r="M29" i="3"/>
  <c r="M36" i="3"/>
  <c r="U29" i="3"/>
  <c r="T36" i="3"/>
  <c r="E44" i="3"/>
  <c r="F44" i="3" s="1"/>
  <c r="G44" i="3" s="1"/>
  <c r="AC29" i="3"/>
  <c r="E41" i="3"/>
  <c r="F41" i="3" s="1"/>
  <c r="G41" i="3" s="1"/>
  <c r="E36" i="3"/>
  <c r="F36" i="3" s="1"/>
  <c r="G36" i="3" s="1"/>
  <c r="D26" i="3"/>
  <c r="E29" i="3"/>
  <c r="F29" i="3" s="1"/>
  <c r="G29" i="3" s="1"/>
  <c r="D18" i="3"/>
  <c r="AK23" i="3"/>
  <c r="L39" i="3"/>
  <c r="U43" i="3"/>
  <c r="E26" i="3"/>
  <c r="F26" i="3" s="1"/>
  <c r="G26" i="3" s="1"/>
  <c r="AK39" i="3"/>
  <c r="L26" i="3"/>
  <c r="AC39" i="3"/>
  <c r="AB26" i="3"/>
  <c r="M44" i="3"/>
  <c r="AJ38" i="3"/>
  <c r="E45" i="3"/>
  <c r="F45" i="3" s="1"/>
  <c r="G45" i="3" s="1"/>
  <c r="M38" i="3"/>
  <c r="E23" i="3"/>
  <c r="F23" i="3" s="1"/>
  <c r="G23" i="3" s="1"/>
  <c r="AK22" i="3"/>
  <c r="AC44" i="3"/>
  <c r="U38" i="3"/>
  <c r="D23" i="3"/>
  <c r="M45" i="3"/>
  <c r="AK37" i="3"/>
  <c r="E37" i="3"/>
  <c r="F37" i="3" s="1"/>
  <c r="G37" i="3" s="1"/>
  <c r="U39" i="3"/>
  <c r="U45" i="3"/>
  <c r="E38" i="3"/>
  <c r="F38" i="3" s="1"/>
  <c r="G38" i="3" s="1"/>
  <c r="E39" i="3"/>
  <c r="F39" i="3" s="1"/>
  <c r="G39" i="3" s="1"/>
  <c r="AK45" i="3"/>
  <c r="M37" i="3"/>
  <c r="AJ25" i="3"/>
  <c r="AK43" i="3"/>
  <c r="E43" i="3"/>
  <c r="F43" i="3" s="1"/>
  <c r="G43" i="3" s="1"/>
  <c r="D38" i="3"/>
  <c r="M42" i="3"/>
  <c r="L42" i="3"/>
  <c r="U32" i="3"/>
  <c r="AK35" i="3"/>
  <c r="AJ35" i="3"/>
  <c r="M40" i="3"/>
  <c r="M35" i="3"/>
  <c r="L35" i="3"/>
  <c r="U40" i="3"/>
  <c r="U35" i="3"/>
  <c r="T35" i="3"/>
  <c r="U42" i="3"/>
  <c r="AK33" i="3"/>
  <c r="AJ33" i="3"/>
  <c r="U37" i="3"/>
  <c r="T37" i="3"/>
  <c r="AC41" i="3"/>
  <c r="AB41" i="3"/>
  <c r="AC23" i="3"/>
  <c r="AC33" i="3"/>
  <c r="AC42" i="3"/>
  <c r="AK42" i="3"/>
  <c r="AJ42" i="3"/>
  <c r="AC35" i="3"/>
  <c r="AB35" i="3"/>
  <c r="AK28" i="3"/>
  <c r="D45" i="3"/>
  <c r="D36" i="3"/>
  <c r="D43" i="3"/>
  <c r="D32" i="3"/>
  <c r="D29" i="3"/>
  <c r="D37" i="3"/>
  <c r="D19" i="3"/>
  <c r="E19" i="3"/>
  <c r="D24" i="3"/>
  <c r="D44" i="3"/>
  <c r="D27" i="3"/>
  <c r="D39" i="3"/>
  <c r="D25" i="3"/>
  <c r="E40" i="1"/>
  <c r="C40" i="1"/>
  <c r="AC19" i="3"/>
  <c r="E13" i="3"/>
  <c r="D13" i="3"/>
  <c r="E15" i="3"/>
  <c r="D15" i="3"/>
  <c r="AB19" i="3"/>
  <c r="E14" i="3"/>
  <c r="D14" i="3"/>
  <c r="E16" i="3"/>
  <c r="D16" i="3"/>
  <c r="E12" i="3"/>
  <c r="D12" i="3"/>
  <c r="E17" i="3"/>
  <c r="D17" i="3"/>
  <c r="E11" i="3"/>
  <c r="D11" i="3"/>
  <c r="D40" i="1"/>
  <c r="G40" i="1"/>
  <c r="F40" i="1"/>
  <c r="AT17" i="3" l="1"/>
  <c r="AU17" i="3" s="1"/>
  <c r="AT15" i="3"/>
  <c r="AU15" i="3" s="1"/>
  <c r="AR12" i="3"/>
  <c r="AT18" i="3"/>
  <c r="AU18" i="3" s="1"/>
  <c r="AR16" i="3"/>
  <c r="AR13" i="3"/>
  <c r="AT11" i="3"/>
  <c r="AU11" i="3" s="1"/>
  <c r="AT14" i="3"/>
  <c r="AU14" i="3" s="1"/>
  <c r="D46" i="3"/>
  <c r="M24" i="3"/>
  <c r="N24" i="3" s="1"/>
  <c r="O24" i="3" s="1"/>
  <c r="AC32" i="3"/>
  <c r="AD32" i="3" s="1"/>
  <c r="AE32" i="3" s="1"/>
  <c r="M43" i="3"/>
  <c r="N43" i="3" s="1"/>
  <c r="O43" i="3" s="1"/>
  <c r="L24" i="3"/>
  <c r="AC24" i="3"/>
  <c r="AD24" i="3" s="1"/>
  <c r="AE24" i="3" s="1"/>
  <c r="AK20" i="3"/>
  <c r="AL20" i="3" s="1"/>
  <c r="AM20" i="3" s="1"/>
  <c r="AB20" i="3"/>
  <c r="L30" i="3"/>
  <c r="AB43" i="3"/>
  <c r="AC22" i="3"/>
  <c r="AD22" i="3" s="1"/>
  <c r="AE22" i="3" s="1"/>
  <c r="AC21" i="3"/>
  <c r="AD21" i="3" s="1"/>
  <c r="AE21" i="3" s="1"/>
  <c r="U28" i="3"/>
  <c r="V28" i="3" s="1"/>
  <c r="W28" i="3" s="1"/>
  <c r="L41" i="3"/>
  <c r="L32" i="3"/>
  <c r="L27" i="3"/>
  <c r="AK21" i="3"/>
  <c r="AL21" i="3" s="1"/>
  <c r="AM21" i="3" s="1"/>
  <c r="AL27" i="3"/>
  <c r="AM27" i="3" s="1"/>
  <c r="AB40" i="3"/>
  <c r="AC25" i="3"/>
  <c r="AD25" i="3" s="1"/>
  <c r="AE25" i="3" s="1"/>
  <c r="AC45" i="3"/>
  <c r="AD45" i="3" s="1"/>
  <c r="AE45" i="3" s="1"/>
  <c r="L33" i="3"/>
  <c r="AK31" i="3"/>
  <c r="AL31" i="3" s="1"/>
  <c r="AM31" i="3" s="1"/>
  <c r="T41" i="3"/>
  <c r="AC31" i="3"/>
  <c r="AD31" i="3" s="1"/>
  <c r="AE31" i="3" s="1"/>
  <c r="T27" i="3"/>
  <c r="AK24" i="3"/>
  <c r="AL24" i="3" s="1"/>
  <c r="AM24" i="3" s="1"/>
  <c r="U30" i="3"/>
  <c r="V30" i="3" s="1"/>
  <c r="W30" i="3" s="1"/>
  <c r="U27" i="3"/>
  <c r="V27" i="3" s="1"/>
  <c r="W27" i="3" s="1"/>
  <c r="AC34" i="3"/>
  <c r="AD34" i="3" s="1"/>
  <c r="AE34" i="3" s="1"/>
  <c r="M28" i="3"/>
  <c r="N28" i="3" s="1"/>
  <c r="O28" i="3" s="1"/>
  <c r="AD27" i="3"/>
  <c r="AE27" i="3" s="1"/>
  <c r="L31" i="3"/>
  <c r="AJ30" i="3"/>
  <c r="AC37" i="3"/>
  <c r="AD37" i="3" s="1"/>
  <c r="AE37" i="3" s="1"/>
  <c r="U31" i="3"/>
  <c r="V31" i="3" s="1"/>
  <c r="W31" i="3" s="1"/>
  <c r="U34" i="3"/>
  <c r="V34" i="3" s="1"/>
  <c r="W34" i="3" s="1"/>
  <c r="AD28" i="3"/>
  <c r="AE28" i="3" s="1"/>
  <c r="L25" i="3"/>
  <c r="AD30" i="3"/>
  <c r="AE30" i="3" s="1"/>
  <c r="AJ40" i="3"/>
  <c r="AJ32" i="3"/>
  <c r="AJ29" i="3"/>
  <c r="T39" i="3"/>
  <c r="AK38" i="3"/>
  <c r="AL38" i="3" s="1"/>
  <c r="AM38" i="3" s="1"/>
  <c r="AK44" i="3"/>
  <c r="AL44" i="3" s="1"/>
  <c r="AM44" i="3" s="1"/>
  <c r="AC38" i="3"/>
  <c r="AD38" i="3" s="1"/>
  <c r="AE38" i="3" s="1"/>
  <c r="AC36" i="3"/>
  <c r="AD36" i="3" s="1"/>
  <c r="AE36" i="3" s="1"/>
  <c r="U44" i="3"/>
  <c r="V44" i="3" s="1"/>
  <c r="W44" i="3" s="1"/>
  <c r="AL36" i="3"/>
  <c r="AM36" i="3" s="1"/>
  <c r="M26" i="3"/>
  <c r="N26" i="3" s="1"/>
  <c r="O26" i="3" s="1"/>
  <c r="AK26" i="3"/>
  <c r="AL26" i="3" s="1"/>
  <c r="AM26" i="3" s="1"/>
  <c r="AK25" i="3"/>
  <c r="AL25" i="3" s="1"/>
  <c r="AM25" i="3" s="1"/>
  <c r="L29" i="3"/>
  <c r="T29" i="3"/>
  <c r="U36" i="3"/>
  <c r="V36" i="3" s="1"/>
  <c r="W36" i="3" s="1"/>
  <c r="AJ23" i="3"/>
  <c r="M39" i="3"/>
  <c r="N39" i="3" s="1"/>
  <c r="O39" i="3" s="1"/>
  <c r="L36" i="3"/>
  <c r="L38" i="3"/>
  <c r="T43" i="3"/>
  <c r="AJ22" i="3"/>
  <c r="L37" i="3"/>
  <c r="AL39" i="3"/>
  <c r="AM39" i="3" s="1"/>
  <c r="AC26" i="3"/>
  <c r="AD26" i="3" s="1"/>
  <c r="AE26" i="3" s="1"/>
  <c r="AJ43" i="3"/>
  <c r="AB39" i="3"/>
  <c r="AB29" i="3"/>
  <c r="AJ37" i="3"/>
  <c r="N45" i="3"/>
  <c r="O45" i="3" s="1"/>
  <c r="T38" i="3"/>
  <c r="AB44" i="3"/>
  <c r="AJ45" i="3"/>
  <c r="L44" i="3"/>
  <c r="T45" i="3"/>
  <c r="AD20" i="3"/>
  <c r="AE20" i="3" s="1"/>
  <c r="AD23" i="3"/>
  <c r="AE23" i="3" s="1"/>
  <c r="AL34" i="3"/>
  <c r="AM34" i="3" s="1"/>
  <c r="F19" i="3"/>
  <c r="G19" i="3" s="1"/>
  <c r="F15" i="3"/>
  <c r="G15" i="3" s="1"/>
  <c r="AL42" i="3"/>
  <c r="AM42" i="3" s="1"/>
  <c r="F13" i="3"/>
  <c r="G13" i="3" s="1"/>
  <c r="V33" i="3"/>
  <c r="W33" i="3" s="1"/>
  <c r="AL28" i="3"/>
  <c r="AM28" i="3" s="1"/>
  <c r="AB37" i="3"/>
  <c r="N27" i="3"/>
  <c r="O27" i="3" s="1"/>
  <c r="AL33" i="3"/>
  <c r="AM33" i="3" s="1"/>
  <c r="V40" i="3"/>
  <c r="W40" i="3" s="1"/>
  <c r="AB32" i="3"/>
  <c r="N34" i="3"/>
  <c r="O34" i="3" s="1"/>
  <c r="V32" i="3"/>
  <c r="W32" i="3" s="1"/>
  <c r="N30" i="3"/>
  <c r="O30" i="3" s="1"/>
  <c r="L28" i="3"/>
  <c r="AB23" i="3"/>
  <c r="N40" i="3"/>
  <c r="O40" i="3" s="1"/>
  <c r="T31" i="3"/>
  <c r="AD35" i="3"/>
  <c r="AE35" i="3" s="1"/>
  <c r="V37" i="3"/>
  <c r="W37" i="3" s="1"/>
  <c r="AL41" i="3"/>
  <c r="AM41" i="3" s="1"/>
  <c r="N35" i="3"/>
  <c r="O35" i="3" s="1"/>
  <c r="V42" i="3"/>
  <c r="W42" i="3" s="1"/>
  <c r="AB31" i="3"/>
  <c r="AJ44" i="3"/>
  <c r="AD19" i="3"/>
  <c r="AE19" i="3" s="1"/>
  <c r="AD41" i="3"/>
  <c r="AE41" i="3" s="1"/>
  <c r="L34" i="3"/>
  <c r="F16" i="3"/>
  <c r="G16" i="3" s="1"/>
  <c r="AD42" i="3"/>
  <c r="AE42" i="3" s="1"/>
  <c r="AJ34" i="3"/>
  <c r="AD40" i="3"/>
  <c r="AE40" i="3" s="1"/>
  <c r="T33" i="3"/>
  <c r="F12" i="3"/>
  <c r="G12" i="3" s="1"/>
  <c r="AB42" i="3"/>
  <c r="AD33" i="3"/>
  <c r="AE33" i="3" s="1"/>
  <c r="N42" i="3"/>
  <c r="O42" i="3" s="1"/>
  <c r="AB24" i="3"/>
  <c r="AB22" i="3"/>
  <c r="L40" i="3"/>
  <c r="AJ31" i="3"/>
  <c r="AD43" i="3"/>
  <c r="AE43" i="3" s="1"/>
  <c r="AB36" i="3"/>
  <c r="AB38" i="3"/>
  <c r="AJ41" i="3"/>
  <c r="T34" i="3"/>
  <c r="T30" i="3"/>
  <c r="F11" i="3"/>
  <c r="G11" i="3" s="1"/>
  <c r="AL35" i="3"/>
  <c r="AM35" i="3" s="1"/>
  <c r="F14" i="3"/>
  <c r="G14" i="3" s="1"/>
  <c r="T44" i="3"/>
  <c r="AB21" i="3"/>
  <c r="AJ26" i="3"/>
  <c r="T40" i="3"/>
  <c r="T28" i="3"/>
  <c r="F17" i="3"/>
  <c r="G17" i="3" s="1"/>
  <c r="AJ28" i="3"/>
  <c r="T42" i="3"/>
  <c r="AB33" i="3"/>
  <c r="N33" i="3"/>
  <c r="O33" i="3" s="1"/>
  <c r="V35" i="3"/>
  <c r="W35" i="3" s="1"/>
  <c r="L43" i="3"/>
  <c r="D11" i="2"/>
  <c r="E11" i="2" s="1"/>
  <c r="AR46" i="3" l="1"/>
  <c r="AU46" i="3"/>
  <c r="G46" i="3"/>
  <c r="G48" i="3" s="1"/>
  <c r="V39" i="3"/>
  <c r="W39" i="3" s="1"/>
  <c r="N31" i="3"/>
  <c r="O31" i="3" s="1"/>
  <c r="AB30" i="3"/>
  <c r="AJ27" i="3"/>
  <c r="N32" i="3"/>
  <c r="O32" i="3" s="1"/>
  <c r="N41" i="3"/>
  <c r="O41" i="3" s="1"/>
  <c r="AJ36" i="3"/>
  <c r="AB27" i="3"/>
  <c r="AL30" i="3"/>
  <c r="AM30" i="3" s="1"/>
  <c r="V41" i="3"/>
  <c r="W41" i="3" s="1"/>
  <c r="AL29" i="3"/>
  <c r="AM29" i="3" s="1"/>
  <c r="N25" i="3"/>
  <c r="O25" i="3" s="1"/>
  <c r="AL40" i="3"/>
  <c r="AM40" i="3" s="1"/>
  <c r="AJ39" i="3"/>
  <c r="AB28" i="3"/>
  <c r="AL32" i="3"/>
  <c r="AM32" i="3" s="1"/>
  <c r="N37" i="3"/>
  <c r="O37" i="3" s="1"/>
  <c r="AL23" i="3"/>
  <c r="AM23" i="3" s="1"/>
  <c r="V29" i="3"/>
  <c r="W29" i="3" s="1"/>
  <c r="L45" i="3"/>
  <c r="L46" i="3" s="1"/>
  <c r="N36" i="3"/>
  <c r="O36" i="3" s="1"/>
  <c r="N38" i="3"/>
  <c r="O38" i="3" s="1"/>
  <c r="V43" i="3"/>
  <c r="W43" i="3" s="1"/>
  <c r="AD44" i="3"/>
  <c r="AE44" i="3" s="1"/>
  <c r="N29" i="3"/>
  <c r="O29" i="3" s="1"/>
  <c r="AD29" i="3"/>
  <c r="AE29" i="3" s="1"/>
  <c r="AL22" i="3"/>
  <c r="AM22" i="3" s="1"/>
  <c r="AL43" i="3"/>
  <c r="AM43" i="3" s="1"/>
  <c r="AD39" i="3"/>
  <c r="AE39" i="3" s="1"/>
  <c r="AL37" i="3"/>
  <c r="AM37" i="3" s="1"/>
  <c r="N44" i="3"/>
  <c r="O44" i="3" s="1"/>
  <c r="V45" i="3"/>
  <c r="W45" i="3" s="1"/>
  <c r="V38" i="3"/>
  <c r="W38" i="3" s="1"/>
  <c r="AL45" i="3"/>
  <c r="AM45" i="3" s="1"/>
  <c r="T46" i="3"/>
  <c r="AB46" i="3" l="1"/>
  <c r="AJ46" i="3"/>
  <c r="W46" i="3"/>
  <c r="W48" i="3" s="1"/>
  <c r="AE46" i="3"/>
  <c r="AE48" i="3" s="1"/>
  <c r="O46" i="3"/>
  <c r="AM46" i="3"/>
  <c r="AM48" i="3" s="1"/>
  <c r="G51" i="1" s="1"/>
  <c r="O48" i="3" l="1"/>
  <c r="D51" i="1" s="1"/>
  <c r="D38" i="1" s="1"/>
  <c r="G38" i="1"/>
  <c r="F51" i="1"/>
  <c r="F38" i="1" s="1"/>
  <c r="E51" i="1"/>
  <c r="E38" i="1" s="1"/>
  <c r="C51" i="1"/>
  <c r="C38" i="1" s="1"/>
</calcChain>
</file>

<file path=xl/sharedStrings.xml><?xml version="1.0" encoding="utf-8"?>
<sst xmlns="http://schemas.openxmlformats.org/spreadsheetml/2006/main" count="204" uniqueCount="129">
  <si>
    <t>F: MOBILE SOURCE: Impulsive, Intermittent ("SAFE DISTANCE" METHODOLOGY)</t>
  </si>
  <si>
    <t>KEY</t>
  </si>
  <si>
    <t>User Provided Information</t>
  </si>
  <si>
    <t>NMFS Provided Information (Technical Guidance)</t>
  </si>
  <si>
    <t>Resultant Isopleth</t>
  </si>
  <si>
    <t>STEP 1: GENERAL PROJECT INFORMATION</t>
  </si>
  <si>
    <t>PROJECT TITLE</t>
  </si>
  <si>
    <t>PROJECT/SOURCE INFORMATION</t>
  </si>
  <si>
    <t>Please include any assumptions</t>
  </si>
  <si>
    <t>PROJECT CONTACT</t>
  </si>
  <si>
    <t>PK</t>
  </si>
  <si>
    <t>Source Velocity (meters/second)</t>
  </si>
  <si>
    <t>1/Repetition rate^ (seconds)</t>
  </si>
  <si>
    <t>Source Factor</t>
  </si>
  <si>
    <r>
      <rPr>
        <vertAlign val="superscript"/>
        <sz val="9"/>
        <color theme="1"/>
        <rFont val="Arial"/>
        <family val="2"/>
      </rPr>
      <t>^</t>
    </r>
    <r>
      <rPr>
        <sz val="9"/>
        <color theme="1"/>
        <rFont val="Arial"/>
        <family val="2"/>
      </rPr>
      <t>Time between onset of successive pulses.</t>
    </r>
  </si>
  <si>
    <t>RESULTANT ISOPLETHS*</t>
  </si>
  <si>
    <t xml:space="preserve">*Impulsive sounds have dual metric thresholds (SELcum &amp; PK). Metric producing largest isopleth should be used. </t>
  </si>
  <si>
    <t>Hearing Group</t>
  </si>
  <si>
    <t>Low-Frequency Cetaceans</t>
  </si>
  <si>
    <t>Mid-Frequency Cetaceans</t>
  </si>
  <si>
    <t>High-Frequency Cetaceans</t>
  </si>
  <si>
    <t>Phocid Pinnipeds</t>
  </si>
  <si>
    <t>Otariid Pinnipeds</t>
  </si>
  <si>
    <r>
      <t>SEL</t>
    </r>
    <r>
      <rPr>
        <b/>
        <vertAlign val="subscript"/>
        <sz val="10"/>
        <color theme="1"/>
        <rFont val="Arial"/>
        <family val="2"/>
      </rPr>
      <t>cum</t>
    </r>
    <r>
      <rPr>
        <b/>
        <sz val="10"/>
        <color theme="1"/>
        <rFont val="Arial"/>
        <family val="2"/>
      </rPr>
      <t xml:space="preserve"> Threshold</t>
    </r>
  </si>
  <si>
    <r>
      <t>PTS SEL</t>
    </r>
    <r>
      <rPr>
        <b/>
        <vertAlign val="subscript"/>
        <sz val="10"/>
        <color theme="1"/>
        <rFont val="Arial"/>
        <family val="2"/>
      </rPr>
      <t>cum</t>
    </r>
    <r>
      <rPr>
        <b/>
        <sz val="10"/>
        <color theme="1"/>
        <rFont val="Arial"/>
        <family val="2"/>
      </rPr>
      <t xml:space="preserve"> Isopleth to threshold (meters)</t>
    </r>
  </si>
  <si>
    <t>PK Threshold</t>
  </si>
  <si>
    <t>PTS PK Isopleth to threshold (meters)</t>
  </si>
  <si>
    <r>
      <t>NOTE</t>
    </r>
    <r>
      <rPr>
        <sz val="9"/>
        <color theme="1"/>
        <rFont val="Arial"/>
        <family val="2"/>
      </rPr>
      <t xml:space="preserve">: The User Spreadsheet tool provides a means to estimates distances associated with the </t>
    </r>
  </si>
  <si>
    <t>Technical Guidance’s PTS onset thresholds. Mitigation and monitoring requirements associated</t>
  </si>
  <si>
    <t>†Methodology assumes propagation of 20 log R; Activity duration (time) independent</t>
  </si>
  <si>
    <t xml:space="preserve"> with a Marine Mammal Protection Act (MMPA) authorization or an Endangered Species Act (ESA) </t>
  </si>
  <si>
    <t xml:space="preserve">consultation or permit are independent management decisions made in the context of the proposed </t>
  </si>
  <si>
    <t xml:space="preserve">activity and comprehensive effects analysis, and are beyond the scope of the Technical Guidance </t>
  </si>
  <si>
    <t xml:space="preserve">and the User Spreadsheet tool. </t>
  </si>
  <si>
    <t>WEIGHTING FUNCTION CALCULATIONS</t>
  </si>
  <si>
    <t>Weighting Function Parameters</t>
  </si>
  <si>
    <t xml:space="preserve">Low-Frequency Cetaceans </t>
  </si>
  <si>
    <t xml:space="preserve">Mid-Frequency Cetaceans </t>
  </si>
  <si>
    <t xml:space="preserve">Phocid Pinnipeds </t>
  </si>
  <si>
    <t xml:space="preserve">Otariid Pinnipeds </t>
  </si>
  <si>
    <t>a</t>
  </si>
  <si>
    <t>b</t>
  </si>
  <si>
    <r>
      <t>f</t>
    </r>
    <r>
      <rPr>
        <b/>
        <vertAlign val="subscript"/>
        <sz val="10"/>
        <rFont val="Arial"/>
        <family val="2"/>
      </rPr>
      <t>1</t>
    </r>
  </si>
  <si>
    <r>
      <t>f</t>
    </r>
    <r>
      <rPr>
        <b/>
        <vertAlign val="subscript"/>
        <sz val="10"/>
        <rFont val="Arial"/>
        <family val="2"/>
      </rPr>
      <t>2</t>
    </r>
  </si>
  <si>
    <t>C</t>
  </si>
  <si>
    <t>Adjustment (dB)†</t>
  </si>
  <si>
    <t>Nominal Source Level (PP SPL)</t>
  </si>
  <si>
    <t>BAR TO PASCAL</t>
  </si>
  <si>
    <t>1 bar = 100000 Pascal</t>
  </si>
  <si>
    <t>BAR</t>
  </si>
  <si>
    <t>Convert Bar or Pascals to dB re 1 microPascal</t>
  </si>
  <si>
    <t>Pascal</t>
  </si>
  <si>
    <t>(enter the nominal array SL in bar or Pascal into appropriate sage colored cell)</t>
  </si>
  <si>
    <t>Frequency (Hz)</t>
  </si>
  <si>
    <t>Weighting Function</t>
  </si>
  <si>
    <t>Weighted SEL</t>
  </si>
  <si>
    <t>Anti-Log of Weighted SEL in Band</t>
  </si>
  <si>
    <t>Low-Frequency Cetaceans (LF)</t>
  </si>
  <si>
    <t>Mid-Frequency Cetaceans (MF)</t>
  </si>
  <si>
    <t>High-Frequency Cetaceans (HF)</t>
  </si>
  <si>
    <t xml:space="preserve">Phocid Pinnipeds (PW) </t>
  </si>
  <si>
    <t xml:space="preserve">Otariid Pinnipeds (OW) </t>
  </si>
  <si>
    <t>f1</t>
  </si>
  <si>
    <t>f2</t>
  </si>
  <si>
    <t>Nominal Source Level (0-PK SPL)</t>
  </si>
  <si>
    <r>
      <t>Adjustment SPL</t>
    </r>
    <r>
      <rPr>
        <vertAlign val="subscript"/>
        <sz val="11"/>
        <color theme="1"/>
        <rFont val="Calibri"/>
        <family val="2"/>
        <scheme val="minor"/>
      </rPr>
      <t>PP</t>
    </r>
    <r>
      <rPr>
        <sz val="11"/>
        <color theme="1"/>
        <rFont val="Calibri"/>
        <family val="2"/>
        <scheme val="minor"/>
      </rPr>
      <t xml:space="preserve"> to SPL</t>
    </r>
    <r>
      <rPr>
        <vertAlign val="subscript"/>
        <sz val="11"/>
        <color theme="1"/>
        <rFont val="Calibri"/>
        <family val="2"/>
        <scheme val="minor"/>
      </rPr>
      <t>0-PK</t>
    </r>
  </si>
  <si>
    <r>
      <t xml:space="preserve">Adjustment SPL </t>
    </r>
    <r>
      <rPr>
        <vertAlign val="subscript"/>
        <sz val="9"/>
        <color theme="1"/>
        <rFont val="Arial"/>
        <family val="2"/>
      </rPr>
      <t xml:space="preserve">0-PK </t>
    </r>
    <r>
      <rPr>
        <sz val="9"/>
        <color theme="1"/>
        <rFont val="Arial"/>
        <family val="2"/>
      </rPr>
      <t>at 1m to SPL</t>
    </r>
    <r>
      <rPr>
        <vertAlign val="subscript"/>
        <sz val="9"/>
        <color theme="1"/>
        <rFont val="Arial"/>
        <family val="2"/>
      </rPr>
      <t>0-PK</t>
    </r>
    <r>
      <rPr>
        <sz val="9"/>
        <color theme="1"/>
        <rFont val="Arial"/>
        <family val="2"/>
      </rPr>
      <t xml:space="preserve"> at 30 m</t>
    </r>
  </si>
  <si>
    <t>SPHERICAL SPREADING LOSS TO 30 M</t>
  </si>
  <si>
    <t>MAXIMUM PEAK-PEAK GAIN</t>
  </si>
  <si>
    <t xml:space="preserve">Center (Hz) </t>
  </si>
  <si>
    <t xml:space="preserve">LF Cetaceans </t>
  </si>
  <si>
    <t xml:space="preserve">MF Cetaceans </t>
  </si>
  <si>
    <t xml:space="preserve">HF Cetaceans </t>
  </si>
  <si>
    <t xml:space="preserve">Phocids Underwater </t>
  </si>
  <si>
    <t xml:space="preserve">Otariids Underwater </t>
  </si>
  <si>
    <r>
      <t xml:space="preserve">dB SPL re 1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Pa</t>
    </r>
  </si>
  <si>
    <t>dB SPL re 1 µPa</t>
  </si>
  <si>
    <t>SEL per pulse</t>
  </si>
  <si>
    <t>Weighted SEL per pulse</t>
  </si>
  <si>
    <t>Unadjusted SEL</t>
  </si>
  <si>
    <t>Anti-Log of Unweighted SEL in Band</t>
  </si>
  <si>
    <t>1/3 octave band SEL</t>
  </si>
  <si>
    <t>Summed SEL</t>
  </si>
  <si>
    <t>Wtd summed SEL</t>
  </si>
  <si>
    <t>STEP 2: SOURCE-SPECIFIC INFORMATION</t>
  </si>
  <si>
    <t>One Third Octave Band Calculator</t>
  </si>
  <si>
    <t>F1: User-Entered SPL and Derived Working Source Level</t>
  </si>
  <si>
    <r>
      <t>F2: CALCULATE SPL PK and SEL</t>
    </r>
    <r>
      <rPr>
        <b/>
        <vertAlign val="subscript"/>
        <sz val="10"/>
        <color theme="0"/>
        <rFont val="Arial"/>
        <family val="2"/>
      </rPr>
      <t>cum</t>
    </r>
    <r>
      <rPr>
        <b/>
        <sz val="10"/>
        <color theme="0"/>
        <rFont val="Arial"/>
        <family val="2"/>
      </rPr>
      <t xml:space="preserve"> Isopleths</t>
    </r>
  </si>
  <si>
    <t>IF NOMINAL SL IS ALREADY 0-PEAK, THEN ENTER THAT VALUE HERE</t>
  </si>
  <si>
    <t>Boundary SEL (SEL @ 30m)</t>
  </si>
  <si>
    <t>Boundary Source Level (0-PK @ 30 m)</t>
  </si>
  <si>
    <t>Nominal SEL</t>
  </si>
  <si>
    <t>Caldwell 2005</t>
  </si>
  <si>
    <t>MacGillivray 2018</t>
  </si>
  <si>
    <t>Blees et al. 2010</t>
  </si>
  <si>
    <t>Sidorovskaia</t>
  </si>
  <si>
    <t>NOMINAL SEL</t>
  </si>
  <si>
    <t>SEL in Band</t>
  </si>
  <si>
    <t>Nominal SEL - SEL in Band</t>
  </si>
  <si>
    <t>MacGillivray 2018, Pa</t>
  </si>
  <si>
    <t>MacGillivray 2018, SEL</t>
  </si>
  <si>
    <t>User provided information is in sage cells throughout.</t>
  </si>
  <si>
    <t xml:space="preserve">These bands are not included for calculations for this hearing group. </t>
  </si>
  <si>
    <t>These bands are not included for calculations for this hearing group.</t>
  </si>
  <si>
    <t>Hearing group: LF</t>
  </si>
  <si>
    <t>Hearing group: MF</t>
  </si>
  <si>
    <t>Hearing group: HF</t>
  </si>
  <si>
    <t>Hearing group: PW</t>
  </si>
  <si>
    <t>Hearing group: OW</t>
  </si>
  <si>
    <t>SEE TAB F1 TO CONVERT PEAK-TO-PEAK SOURCE LEVEL IN BAR, BAR-M, OR PASCAL INTO Db</t>
  </si>
  <si>
    <t>NOTE:  The industry standard is to provide peak-to-peak source levels: the derived SPL value should therefore be entered into Cell G19 of Tab C.</t>
  </si>
  <si>
    <t>Center f SEL</t>
  </si>
  <si>
    <t>VERSION 3.0: 2020</t>
  </si>
  <si>
    <t>If the source level is provided as peak or zero-to-peak source level in bar or Pascals, then the derived SPLpk should be entered directly into Cell G21</t>
  </si>
  <si>
    <t xml:space="preserve">of Tab F. </t>
  </si>
  <si>
    <t>Gardline TOB</t>
  </si>
  <si>
    <t>Gardline Center f SEL</t>
  </si>
  <si>
    <t>1/3 octave band</t>
  </si>
  <si>
    <t>Bandwidth</t>
  </si>
  <si>
    <t>Unweighted</t>
  </si>
  <si>
    <t>1/3 OTB</t>
  </si>
  <si>
    <t xml:space="preserve">30 meters is used as a </t>
  </si>
  <si>
    <t xml:space="preserve">minimum isopleth, as </t>
  </si>
  <si>
    <t xml:space="preserve">calculated values less than 30 meters would fall </t>
  </si>
  <si>
    <t xml:space="preserve">within the near-field of the seismic source array. </t>
  </si>
  <si>
    <t xml:space="preserve">Yellow highlighted cells indicate the use of the minimum isopleth. </t>
  </si>
  <si>
    <t>Center Freq (Hz)</t>
  </si>
  <si>
    <t>Geo Mean SEL Diff</t>
  </si>
  <si>
    <t>Calc Values from Nom. 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</si>
</sst>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3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5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ABED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</fills>
  <borders count="46">
    <border>
      <left/>
      <right/>
      <top/>
      <bottom/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2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221">
    <xf numFmtId="0" fontId="0" fillId="0" borderId="0" xfId="0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4" borderId="3" xfId="0" applyFont="1" applyFill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3" xfId="0" applyFont="1" applyFill="1" applyBorder="1"/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7" xfId="0" applyFont="1" applyBorder="1"/>
    <xf numFmtId="0" fontId="9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2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/>
    <xf numFmtId="0" fontId="7" fillId="0" borderId="0" xfId="0" applyFont="1" applyAlignment="1">
      <alignment horizontal="center"/>
    </xf>
    <xf numFmtId="0" fontId="8" fillId="3" borderId="3" xfId="0" applyFont="1" applyFill="1" applyBorder="1"/>
    <xf numFmtId="0" fontId="8" fillId="3" borderId="0" xfId="0" applyFont="1" applyFill="1" applyAlignment="1">
      <alignment wrapText="1"/>
    </xf>
    <xf numFmtId="0" fontId="8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wrapText="1"/>
    </xf>
    <xf numFmtId="164" fontId="8" fillId="5" borderId="3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8" fillId="3" borderId="3" xfId="0" applyFont="1" applyFill="1" applyBorder="1" applyAlignment="1">
      <alignment wrapText="1"/>
    </xf>
    <xf numFmtId="165" fontId="8" fillId="8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2" fontId="8" fillId="0" borderId="0" xfId="0" applyNumberFormat="1" applyFont="1" applyAlignment="1">
      <alignment horizontal="center" vertical="center" wrapText="1"/>
    </xf>
    <xf numFmtId="0" fontId="3" fillId="9" borderId="1" xfId="0" applyFont="1" applyFill="1" applyBorder="1"/>
    <xf numFmtId="0" fontId="4" fillId="9" borderId="2" xfId="0" applyFont="1" applyFill="1" applyBorder="1"/>
    <xf numFmtId="0" fontId="7" fillId="10" borderId="3" xfId="0" applyFont="1" applyFill="1" applyBorder="1"/>
    <xf numFmtId="0" fontId="8" fillId="10" borderId="4" xfId="0" applyFont="1" applyFill="1" applyBorder="1" applyAlignment="1">
      <alignment vertical="center"/>
    </xf>
    <xf numFmtId="0" fontId="7" fillId="10" borderId="5" xfId="0" applyFont="1" applyFill="1" applyBorder="1" applyAlignment="1" applyProtection="1">
      <alignment horizontal="left" vertical="center" wrapText="1"/>
      <protection locked="0"/>
    </xf>
    <xf numFmtId="0" fontId="8" fillId="10" borderId="5" xfId="0" applyFont="1" applyFill="1" applyBorder="1" applyAlignment="1">
      <alignment vertical="center" wrapText="1"/>
    </xf>
    <xf numFmtId="0" fontId="7" fillId="10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0" fillId="0" borderId="17" xfId="0" applyBorder="1"/>
    <xf numFmtId="0" fontId="0" fillId="0" borderId="0" xfId="0" applyAlignment="1">
      <alignment horizontal="center"/>
    </xf>
    <xf numFmtId="0" fontId="0" fillId="0" borderId="18" xfId="0" applyBorder="1"/>
    <xf numFmtId="0" fontId="0" fillId="0" borderId="0" xfId="0" applyAlignment="1">
      <alignment horizontal="right"/>
    </xf>
    <xf numFmtId="0" fontId="21" fillId="0" borderId="0" xfId="0" applyFont="1"/>
    <xf numFmtId="0" fontId="0" fillId="8" borderId="19" xfId="0" applyFill="1" applyBorder="1" applyAlignment="1">
      <alignment wrapText="1"/>
    </xf>
    <xf numFmtId="0" fontId="17" fillId="0" borderId="0" xfId="0" applyFont="1" applyAlignment="1">
      <alignment vertical="center"/>
    </xf>
    <xf numFmtId="0" fontId="24" fillId="0" borderId="0" xfId="0" applyFont="1"/>
    <xf numFmtId="0" fontId="25" fillId="13" borderId="21" xfId="0" applyFont="1" applyFill="1" applyBorder="1" applyAlignment="1">
      <alignment horizontal="center" vertical="center" wrapText="1"/>
    </xf>
    <xf numFmtId="0" fontId="25" fillId="13" borderId="22" xfId="0" applyFont="1" applyFill="1" applyBorder="1" applyAlignment="1">
      <alignment horizontal="center" vertical="center" wrapText="1"/>
    </xf>
    <xf numFmtId="0" fontId="25" fillId="13" borderId="23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center" vertical="center" wrapText="1"/>
    </xf>
    <xf numFmtId="0" fontId="26" fillId="14" borderId="25" xfId="0" applyFont="1" applyFill="1" applyBorder="1" applyAlignment="1">
      <alignment horizontal="center" vertical="center" wrapText="1"/>
    </xf>
    <xf numFmtId="0" fontId="26" fillId="14" borderId="26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14" borderId="30" xfId="0" applyFont="1" applyFill="1" applyBorder="1" applyAlignment="1">
      <alignment horizontal="center" vertical="center" wrapText="1"/>
    </xf>
    <xf numFmtId="0" fontId="26" fillId="14" borderId="31" xfId="0" applyFont="1" applyFill="1" applyBorder="1" applyAlignment="1">
      <alignment horizontal="center" vertical="center" wrapText="1"/>
    </xf>
    <xf numFmtId="0" fontId="26" fillId="14" borderId="27" xfId="0" applyFont="1" applyFill="1" applyBorder="1" applyAlignment="1">
      <alignment horizontal="center" vertical="center" wrapText="1"/>
    </xf>
    <xf numFmtId="0" fontId="26" fillId="14" borderId="28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14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9" fillId="6" borderId="0" xfId="0" applyFont="1" applyFill="1" applyAlignment="1">
      <alignment wrapText="1"/>
    </xf>
    <xf numFmtId="0" fontId="29" fillId="6" borderId="17" xfId="0" applyFont="1" applyFill="1" applyBorder="1" applyAlignment="1">
      <alignment wrapText="1"/>
    </xf>
    <xf numFmtId="0" fontId="29" fillId="6" borderId="17" xfId="0" applyFont="1" applyFill="1" applyBorder="1"/>
    <xf numFmtId="0" fontId="7" fillId="0" borderId="0" xfId="0" applyFont="1" applyBorder="1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0" fillId="0" borderId="17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3" fillId="10" borderId="0" xfId="0" applyFont="1" applyFill="1" applyProtection="1">
      <protection locked="0"/>
    </xf>
    <xf numFmtId="0" fontId="2" fillId="10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3" fillId="10" borderId="0" xfId="0" applyFont="1" applyFill="1" applyProtection="1"/>
    <xf numFmtId="11" fontId="0" fillId="0" borderId="0" xfId="0" applyNumberFormat="1"/>
    <xf numFmtId="11" fontId="21" fillId="0" borderId="0" xfId="0" applyNumberFormat="1" applyFont="1"/>
    <xf numFmtId="0" fontId="0" fillId="0" borderId="35" xfId="0" applyBorder="1"/>
    <xf numFmtId="2" fontId="8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17" fillId="0" borderId="39" xfId="0" applyFont="1" applyBorder="1" applyAlignment="1">
      <alignment vertical="center"/>
    </xf>
    <xf numFmtId="0" fontId="9" fillId="0" borderId="40" xfId="0" applyFont="1" applyBorder="1"/>
    <xf numFmtId="0" fontId="0" fillId="0" borderId="37" xfId="0" applyBorder="1"/>
    <xf numFmtId="0" fontId="9" fillId="0" borderId="41" xfId="0" applyFont="1" applyBorder="1"/>
    <xf numFmtId="0" fontId="9" fillId="0" borderId="0" xfId="0" applyFont="1" applyBorder="1"/>
    <xf numFmtId="0" fontId="0" fillId="0" borderId="42" xfId="0" applyBorder="1"/>
    <xf numFmtId="0" fontId="9" fillId="0" borderId="43" xfId="0" applyFont="1" applyBorder="1"/>
    <xf numFmtId="0" fontId="9" fillId="0" borderId="16" xfId="0" applyFont="1" applyBorder="1"/>
    <xf numFmtId="0" fontId="0" fillId="0" borderId="38" xfId="0" applyBorder="1"/>
    <xf numFmtId="0" fontId="8" fillId="3" borderId="4" xfId="0" applyFont="1" applyFill="1" applyBorder="1"/>
    <xf numFmtId="0" fontId="7" fillId="3" borderId="4" xfId="0" applyFont="1" applyFill="1" applyBorder="1"/>
    <xf numFmtId="0" fontId="7" fillId="10" borderId="4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7" fillId="10" borderId="4" xfId="0" applyFont="1" applyFill="1" applyBorder="1" applyProtection="1">
      <protection locked="0"/>
    </xf>
    <xf numFmtId="0" fontId="9" fillId="0" borderId="4" xfId="0" applyFont="1" applyBorder="1"/>
    <xf numFmtId="0" fontId="9" fillId="3" borderId="4" xfId="0" applyFont="1" applyFill="1" applyBorder="1"/>
    <xf numFmtId="0" fontId="26" fillId="0" borderId="29" xfId="0" applyFont="1" applyBorder="1" applyAlignment="1">
      <alignment horizontal="center" vertical="center" wrapText="1"/>
    </xf>
    <xf numFmtId="0" fontId="26" fillId="14" borderId="32" xfId="0" applyFont="1" applyFill="1" applyBorder="1" applyAlignment="1">
      <alignment horizontal="center" vertical="center" wrapText="1"/>
    </xf>
    <xf numFmtId="0" fontId="26" fillId="14" borderId="29" xfId="0" applyFont="1" applyFill="1" applyBorder="1" applyAlignment="1">
      <alignment horizontal="center" vertical="center" wrapText="1"/>
    </xf>
    <xf numFmtId="1" fontId="0" fillId="0" borderId="17" xfId="0" applyNumberFormat="1" applyFill="1" applyBorder="1"/>
    <xf numFmtId="1" fontId="21" fillId="0" borderId="17" xfId="0" applyNumberFormat="1" applyFont="1" applyBorder="1" applyAlignment="1" applyProtection="1">
      <alignment horizontal="center" vertical="center" wrapText="1"/>
      <protection hidden="1"/>
    </xf>
    <xf numFmtId="1" fontId="21" fillId="0" borderId="17" xfId="0" applyNumberFormat="1" applyFont="1" applyBorder="1"/>
    <xf numFmtId="1" fontId="0" fillId="0" borderId="0" xfId="0" applyNumberFormat="1"/>
    <xf numFmtId="1" fontId="21" fillId="0" borderId="35" xfId="0" applyNumberFormat="1" applyFont="1" applyBorder="1" applyAlignment="1" applyProtection="1">
      <alignment horizontal="center" vertical="center" wrapText="1"/>
      <protection hidden="1"/>
    </xf>
    <xf numFmtId="1" fontId="0" fillId="0" borderId="17" xfId="0" applyNumberFormat="1" applyBorder="1"/>
    <xf numFmtId="1" fontId="0" fillId="0" borderId="18" xfId="0" applyNumberFormat="1" applyFill="1" applyBorder="1"/>
    <xf numFmtId="1" fontId="21" fillId="0" borderId="18" xfId="0" applyNumberFormat="1" applyFont="1" applyBorder="1" applyAlignment="1" applyProtection="1">
      <alignment horizontal="center" vertical="center" wrapText="1"/>
      <protection hidden="1"/>
    </xf>
    <xf numFmtId="1" fontId="0" fillId="0" borderId="18" xfId="0" applyNumberFormat="1" applyBorder="1"/>
    <xf numFmtId="11" fontId="21" fillId="0" borderId="17" xfId="0" applyNumberFormat="1" applyFont="1" applyBorder="1"/>
    <xf numFmtId="11" fontId="21" fillId="0" borderId="35" xfId="0" applyNumberFormat="1" applyFont="1" applyBorder="1"/>
    <xf numFmtId="11" fontId="21" fillId="0" borderId="18" xfId="0" applyNumberFormat="1" applyFont="1" applyBorder="1"/>
    <xf numFmtId="11" fontId="0" fillId="0" borderId="18" xfId="0" applyNumberFormat="1" applyBorder="1"/>
    <xf numFmtId="2" fontId="21" fillId="0" borderId="17" xfId="0" applyNumberFormat="1" applyFont="1" applyBorder="1" applyAlignment="1" applyProtection="1">
      <alignment horizontal="center" vertical="center" wrapText="1"/>
      <protection hidden="1"/>
    </xf>
    <xf numFmtId="2" fontId="21" fillId="0" borderId="18" xfId="0" applyNumberFormat="1" applyFont="1" applyBorder="1" applyAlignment="1" applyProtection="1">
      <alignment horizontal="center" vertical="center" wrapText="1"/>
      <protection hidden="1"/>
    </xf>
    <xf numFmtId="2" fontId="21" fillId="0" borderId="35" xfId="0" applyNumberFormat="1" applyFont="1" applyBorder="1" applyAlignment="1" applyProtection="1">
      <alignment horizontal="center" vertical="center" wrapText="1"/>
      <protection hidden="1"/>
    </xf>
    <xf numFmtId="1" fontId="0" fillId="8" borderId="20" xfId="0" applyNumberFormat="1" applyFill="1" applyBorder="1"/>
    <xf numFmtId="1" fontId="21" fillId="15" borderId="17" xfId="0" applyNumberFormat="1" applyFont="1" applyFill="1" applyBorder="1"/>
    <xf numFmtId="1" fontId="21" fillId="15" borderId="17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17" xfId="0" applyNumberFormat="1" applyFont="1" applyFill="1" applyBorder="1"/>
    <xf numFmtId="1" fontId="21" fillId="0" borderId="17" xfId="0" applyNumberFormat="1" applyFont="1" applyBorder="1" applyAlignment="1" applyProtection="1">
      <alignment horizontal="center" vertical="center" wrapText="1"/>
    </xf>
    <xf numFmtId="49" fontId="0" fillId="0" borderId="17" xfId="0" applyNumberFormat="1" applyBorder="1" applyAlignment="1">
      <alignment horizontal="right"/>
    </xf>
    <xf numFmtId="0" fontId="19" fillId="6" borderId="0" xfId="0" applyFont="1" applyFill="1" applyAlignment="1">
      <alignment wrapText="1"/>
    </xf>
    <xf numFmtId="1" fontId="21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20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20" xfId="0" applyNumberFormat="1" applyFont="1" applyBorder="1" applyAlignment="1" applyProtection="1">
      <alignment horizontal="center" vertical="center" wrapText="1"/>
      <protection hidden="1"/>
    </xf>
    <xf numFmtId="1" fontId="21" fillId="15" borderId="44" xfId="0" applyNumberFormat="1" applyFont="1" applyFill="1" applyBorder="1"/>
    <xf numFmtId="1" fontId="21" fillId="0" borderId="44" xfId="0" applyNumberFormat="1" applyFont="1" applyBorder="1"/>
    <xf numFmtId="0" fontId="0" fillId="0" borderId="0" xfId="0" applyNumberFormat="1"/>
    <xf numFmtId="9" fontId="0" fillId="0" borderId="0" xfId="1" applyFont="1"/>
    <xf numFmtId="10" fontId="0" fillId="0" borderId="0" xfId="1" applyNumberFormat="1" applyFont="1"/>
    <xf numFmtId="1" fontId="0" fillId="10" borderId="17" xfId="0" applyNumberFormat="1" applyFill="1" applyBorder="1"/>
    <xf numFmtId="1" fontId="16" fillId="10" borderId="3" xfId="0" applyNumberFormat="1" applyFont="1" applyFill="1" applyBorder="1" applyAlignment="1" applyProtection="1">
      <alignment horizontal="center" vertical="center"/>
      <protection locked="0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0" applyFont="1" applyFill="1" applyBorder="1" applyAlignment="1" applyProtection="1">
      <alignment horizontal="center"/>
      <protection locked="0"/>
    </xf>
    <xf numFmtId="0" fontId="33" fillId="17" borderId="45" xfId="2" applyBorder="1" applyAlignment="1">
      <alignment vertical="center" wrapText="1"/>
    </xf>
    <xf numFmtId="0" fontId="33" fillId="17" borderId="36" xfId="2" applyBorder="1" applyAlignment="1">
      <alignment vertical="center" wrapText="1"/>
    </xf>
    <xf numFmtId="0" fontId="33" fillId="17" borderId="35" xfId="2" applyBorder="1" applyAlignment="1">
      <alignment wrapText="1"/>
    </xf>
    <xf numFmtId="0" fontId="8" fillId="8" borderId="3" xfId="0" applyFont="1" applyFill="1" applyBorder="1" applyAlignment="1">
      <alignment horizontal="center" vertical="center" wrapText="1"/>
    </xf>
    <xf numFmtId="1" fontId="31" fillId="16" borderId="39" xfId="0" applyNumberFormat="1" applyFont="1" applyFill="1" applyBorder="1" applyAlignment="1">
      <alignment vertical="center"/>
    </xf>
    <xf numFmtId="1" fontId="31" fillId="16" borderId="40" xfId="0" applyNumberFormat="1" applyFont="1" applyFill="1" applyBorder="1" applyAlignment="1">
      <alignment vertical="center"/>
    </xf>
    <xf numFmtId="1" fontId="31" fillId="16" borderId="37" xfId="0" applyNumberFormat="1" applyFont="1" applyFill="1" applyBorder="1" applyAlignment="1">
      <alignment vertical="center"/>
    </xf>
    <xf numFmtId="1" fontId="31" fillId="16" borderId="41" xfId="0" applyNumberFormat="1" applyFont="1" applyFill="1" applyBorder="1" applyAlignment="1">
      <alignment vertical="center"/>
    </xf>
    <xf numFmtId="1" fontId="31" fillId="16" borderId="0" xfId="0" applyNumberFormat="1" applyFont="1" applyFill="1" applyBorder="1" applyAlignment="1">
      <alignment vertical="center"/>
    </xf>
    <xf numFmtId="1" fontId="31" fillId="16" borderId="42" xfId="0" applyNumberFormat="1" applyFont="1" applyFill="1" applyBorder="1" applyAlignment="1">
      <alignment vertical="center"/>
    </xf>
    <xf numFmtId="1" fontId="31" fillId="16" borderId="43" xfId="0" applyNumberFormat="1" applyFont="1" applyFill="1" applyBorder="1" applyAlignment="1">
      <alignment vertical="center"/>
    </xf>
    <xf numFmtId="1" fontId="31" fillId="16" borderId="16" xfId="0" applyNumberFormat="1" applyFont="1" applyFill="1" applyBorder="1" applyAlignment="1">
      <alignment vertical="center"/>
    </xf>
    <xf numFmtId="1" fontId="31" fillId="16" borderId="38" xfId="0" applyNumberFormat="1" applyFont="1" applyFill="1" applyBorder="1" applyAlignment="1">
      <alignment vertical="center"/>
    </xf>
    <xf numFmtId="1" fontId="31" fillId="16" borderId="39" xfId="0" applyNumberFormat="1" applyFont="1" applyFill="1" applyBorder="1" applyAlignment="1">
      <alignment horizontal="left" vertical="center"/>
    </xf>
    <xf numFmtId="1" fontId="31" fillId="16" borderId="40" xfId="0" applyNumberFormat="1" applyFont="1" applyFill="1" applyBorder="1" applyAlignment="1">
      <alignment horizontal="left" vertical="center"/>
    </xf>
    <xf numFmtId="1" fontId="31" fillId="16" borderId="37" xfId="0" applyNumberFormat="1" applyFont="1" applyFill="1" applyBorder="1" applyAlignment="1">
      <alignment horizontal="left" vertical="center"/>
    </xf>
    <xf numFmtId="1" fontId="31" fillId="16" borderId="41" xfId="0" applyNumberFormat="1" applyFont="1" applyFill="1" applyBorder="1" applyAlignment="1">
      <alignment horizontal="left" vertical="center"/>
    </xf>
    <xf numFmtId="1" fontId="31" fillId="16" borderId="0" xfId="0" applyNumberFormat="1" applyFont="1" applyFill="1" applyBorder="1" applyAlignment="1">
      <alignment horizontal="left" vertical="center"/>
    </xf>
    <xf numFmtId="1" fontId="31" fillId="16" borderId="42" xfId="0" applyNumberFormat="1" applyFont="1" applyFill="1" applyBorder="1" applyAlignment="1">
      <alignment horizontal="left" vertical="center"/>
    </xf>
    <xf numFmtId="1" fontId="31" fillId="16" borderId="43" xfId="0" applyNumberFormat="1" applyFont="1" applyFill="1" applyBorder="1" applyAlignment="1">
      <alignment horizontal="left" vertical="center"/>
    </xf>
    <xf numFmtId="1" fontId="31" fillId="16" borderId="16" xfId="0" applyNumberFormat="1" applyFont="1" applyFill="1" applyBorder="1" applyAlignment="1">
      <alignment horizontal="left" vertical="center"/>
    </xf>
    <xf numFmtId="1" fontId="31" fillId="16" borderId="38" xfId="0" applyNumberFormat="1" applyFont="1" applyFill="1" applyBorder="1" applyAlignment="1">
      <alignment horizontal="left" vertical="center"/>
    </xf>
    <xf numFmtId="0" fontId="20" fillId="6" borderId="16" xfId="0" applyFont="1" applyFill="1" applyBorder="1" applyAlignment="1">
      <alignment vertical="center"/>
    </xf>
    <xf numFmtId="0" fontId="28" fillId="6" borderId="34" xfId="0" applyFont="1" applyFill="1" applyBorder="1" applyAlignment="1">
      <alignment vertical="center"/>
    </xf>
    <xf numFmtId="0" fontId="19" fillId="11" borderId="37" xfId="0" applyFont="1" applyFill="1" applyBorder="1" applyAlignment="1" applyProtection="1">
      <alignment vertical="center"/>
      <protection hidden="1"/>
    </xf>
    <xf numFmtId="0" fontId="19" fillId="11" borderId="35" xfId="0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0" fontId="30" fillId="3" borderId="34" xfId="0" applyFont="1" applyFill="1" applyBorder="1" applyAlignment="1">
      <alignment vertical="center"/>
    </xf>
    <xf numFmtId="0" fontId="30" fillId="3" borderId="20" xfId="0" applyFont="1" applyFill="1" applyBorder="1" applyAlignment="1">
      <alignment vertical="center"/>
    </xf>
    <xf numFmtId="0" fontId="35" fillId="0" borderId="40" xfId="0" applyFont="1" applyBorder="1"/>
    <xf numFmtId="0" fontId="35" fillId="0" borderId="37" xfId="0" applyFont="1" applyBorder="1"/>
    <xf numFmtId="0" fontId="35" fillId="0" borderId="16" xfId="0" applyFont="1" applyBorder="1"/>
    <xf numFmtId="0" fontId="35" fillId="0" borderId="38" xfId="0" applyFont="1" applyBorder="1"/>
    <xf numFmtId="0" fontId="36" fillId="0" borderId="11" xfId="0" applyFont="1" applyBorder="1" applyProtection="1"/>
    <xf numFmtId="0" fontId="36" fillId="0" borderId="8" xfId="0" applyFont="1" applyBorder="1" applyProtection="1"/>
    <xf numFmtId="0" fontId="35" fillId="0" borderId="8" xfId="0" applyFont="1" applyBorder="1" applyProtection="1"/>
    <xf numFmtId="0" fontId="35" fillId="0" borderId="12" xfId="0" applyFont="1" applyBorder="1"/>
    <xf numFmtId="0" fontId="36" fillId="0" borderId="33" xfId="0" applyFont="1" applyBorder="1" applyProtection="1"/>
    <xf numFmtId="0" fontId="36" fillId="0" borderId="0" xfId="0" applyFont="1" applyBorder="1" applyProtection="1"/>
    <xf numFmtId="0" fontId="35" fillId="0" borderId="0" xfId="0" applyFont="1" applyBorder="1" applyProtection="1"/>
    <xf numFmtId="0" fontId="35" fillId="0" borderId="9" xfId="0" applyFont="1" applyBorder="1"/>
    <xf numFmtId="0" fontId="36" fillId="0" borderId="13" xfId="0" applyFont="1" applyBorder="1" applyProtection="1"/>
    <xf numFmtId="0" fontId="36" fillId="0" borderId="14" xfId="0" applyFont="1" applyBorder="1" applyProtection="1"/>
    <xf numFmtId="0" fontId="35" fillId="0" borderId="14" xfId="0" applyFont="1" applyBorder="1" applyProtection="1"/>
    <xf numFmtId="0" fontId="35" fillId="0" borderId="15" xfId="0" applyFont="1" applyBorder="1"/>
    <xf numFmtId="0" fontId="21" fillId="0" borderId="17" xfId="0" applyFont="1" applyBorder="1" applyAlignment="1" applyProtection="1">
      <alignment horizontal="center" vertical="center"/>
    </xf>
    <xf numFmtId="0" fontId="19" fillId="18" borderId="38" xfId="0" applyFont="1" applyFill="1" applyBorder="1" applyAlignment="1" applyProtection="1">
      <alignment vertical="center" wrapText="1"/>
      <protection hidden="1"/>
    </xf>
    <xf numFmtId="0" fontId="19" fillId="18" borderId="17" xfId="0" applyFont="1" applyFill="1" applyBorder="1" applyAlignment="1" applyProtection="1">
      <alignment horizontal="center" vertical="center" wrapText="1"/>
      <protection hidden="1"/>
    </xf>
    <xf numFmtId="0" fontId="19" fillId="18" borderId="17" xfId="0" applyFont="1" applyFill="1" applyBorder="1" applyAlignment="1">
      <alignment horizontal="center" vertical="center" wrapText="1"/>
    </xf>
    <xf numFmtId="0" fontId="19" fillId="18" borderId="44" xfId="0" applyFont="1" applyFill="1" applyBorder="1" applyAlignment="1">
      <alignment horizontal="center" vertical="center" wrapText="1"/>
    </xf>
    <xf numFmtId="0" fontId="19" fillId="18" borderId="20" xfId="0" applyFont="1" applyFill="1" applyBorder="1" applyAlignment="1" applyProtection="1">
      <alignment horizontal="center" vertical="center" wrapText="1"/>
      <protection hidden="1"/>
    </xf>
    <xf numFmtId="0" fontId="19" fillId="18" borderId="36" xfId="0" applyFont="1" applyFill="1" applyBorder="1" applyAlignment="1">
      <alignment vertical="center" wrapText="1"/>
    </xf>
  </cellXfs>
  <cellStyles count="3">
    <cellStyle name="Neutral" xfId="2" builtinId="28"/>
    <cellStyle name="Normal" xfId="0" builtinId="0"/>
    <cellStyle name="Percent" xfId="1" builtinId="5"/>
  </cellStyles>
  <dxfs count="18"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DAB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LF: Weighted 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'Tab F2 - wtd SEL calculator'!$A$11:$A$45</c:f>
              <c:numCache>
                <c:formatCode>General</c:formatCode>
                <c:ptCount val="35"/>
                <c:pt idx="0">
                  <c:v>8</c:v>
                </c:pt>
                <c:pt idx="1">
                  <c:v>10</c:v>
                </c:pt>
                <c:pt idx="2">
                  <c:v>12.5</c:v>
                </c:pt>
                <c:pt idx="3">
                  <c:v>16</c:v>
                </c:pt>
                <c:pt idx="4">
                  <c:v>20</c:v>
                </c:pt>
                <c:pt idx="5">
                  <c:v>25</c:v>
                </c:pt>
                <c:pt idx="6">
                  <c:v>31.5</c:v>
                </c:pt>
                <c:pt idx="7">
                  <c:v>40</c:v>
                </c:pt>
                <c:pt idx="8">
                  <c:v>50</c:v>
                </c:pt>
                <c:pt idx="9">
                  <c:v>63</c:v>
                </c:pt>
                <c:pt idx="10">
                  <c:v>80</c:v>
                </c:pt>
                <c:pt idx="11">
                  <c:v>100</c:v>
                </c:pt>
                <c:pt idx="12">
                  <c:v>125</c:v>
                </c:pt>
                <c:pt idx="13">
                  <c:v>160</c:v>
                </c:pt>
                <c:pt idx="14">
                  <c:v>200</c:v>
                </c:pt>
                <c:pt idx="15">
                  <c:v>250</c:v>
                </c:pt>
                <c:pt idx="16">
                  <c:v>315</c:v>
                </c:pt>
                <c:pt idx="17">
                  <c:v>400</c:v>
                </c:pt>
                <c:pt idx="18">
                  <c:v>500</c:v>
                </c:pt>
                <c:pt idx="19">
                  <c:v>630</c:v>
                </c:pt>
                <c:pt idx="20">
                  <c:v>800</c:v>
                </c:pt>
                <c:pt idx="21">
                  <c:v>1000</c:v>
                </c:pt>
                <c:pt idx="22">
                  <c:v>1250</c:v>
                </c:pt>
                <c:pt idx="23">
                  <c:v>1600</c:v>
                </c:pt>
                <c:pt idx="24">
                  <c:v>2000</c:v>
                </c:pt>
                <c:pt idx="25">
                  <c:v>2500</c:v>
                </c:pt>
                <c:pt idx="26">
                  <c:v>3150</c:v>
                </c:pt>
                <c:pt idx="27">
                  <c:v>4000</c:v>
                </c:pt>
                <c:pt idx="28">
                  <c:v>5000</c:v>
                </c:pt>
                <c:pt idx="29">
                  <c:v>6300</c:v>
                </c:pt>
                <c:pt idx="30">
                  <c:v>8000</c:v>
                </c:pt>
                <c:pt idx="31">
                  <c:v>10000</c:v>
                </c:pt>
                <c:pt idx="32">
                  <c:v>12500</c:v>
                </c:pt>
                <c:pt idx="33">
                  <c:v>16000</c:v>
                </c:pt>
                <c:pt idx="34">
                  <c:v>20000</c:v>
                </c:pt>
              </c:numCache>
            </c:numRef>
          </c:cat>
          <c:val>
            <c:numRef>
              <c:f>'Tab F2 - wtd SEL calculator'!$F$11:$F$45</c:f>
              <c:numCache>
                <c:formatCode>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E-4EAB-A705-45897DCE0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89672144"/>
        <c:axId val="1785755408"/>
      </c:barChart>
      <c:catAx>
        <c:axId val="178967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 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755408"/>
        <c:crosses val="autoZero"/>
        <c:auto val="0"/>
        <c:lblAlgn val="ctr"/>
        <c:lblOffset val="100"/>
        <c:noMultiLvlLbl val="0"/>
      </c:catAx>
      <c:valAx>
        <c:axId val="1785755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TOB dB SEL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7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MF: Weighted 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'Tab F2 - wtd SEL calculator'!$I$24:$I$45</c:f>
              <c:numCache>
                <c:formatCode>0</c:formatCode>
                <c:ptCount val="22"/>
                <c:pt idx="0">
                  <c:v>160</c:v>
                </c:pt>
                <c:pt idx="1">
                  <c:v>200</c:v>
                </c:pt>
                <c:pt idx="2">
                  <c:v>250</c:v>
                </c:pt>
                <c:pt idx="3">
                  <c:v>315</c:v>
                </c:pt>
                <c:pt idx="4">
                  <c:v>400</c:v>
                </c:pt>
                <c:pt idx="5">
                  <c:v>500</c:v>
                </c:pt>
                <c:pt idx="6">
                  <c:v>630</c:v>
                </c:pt>
                <c:pt idx="7">
                  <c:v>800</c:v>
                </c:pt>
                <c:pt idx="8">
                  <c:v>1000</c:v>
                </c:pt>
                <c:pt idx="9">
                  <c:v>1250</c:v>
                </c:pt>
                <c:pt idx="10">
                  <c:v>1600</c:v>
                </c:pt>
                <c:pt idx="11">
                  <c:v>2000</c:v>
                </c:pt>
                <c:pt idx="12">
                  <c:v>2500</c:v>
                </c:pt>
                <c:pt idx="13">
                  <c:v>3150</c:v>
                </c:pt>
                <c:pt idx="14">
                  <c:v>4000</c:v>
                </c:pt>
                <c:pt idx="15">
                  <c:v>5000</c:v>
                </c:pt>
                <c:pt idx="16">
                  <c:v>6300</c:v>
                </c:pt>
                <c:pt idx="17">
                  <c:v>8000</c:v>
                </c:pt>
                <c:pt idx="18">
                  <c:v>10000</c:v>
                </c:pt>
                <c:pt idx="19">
                  <c:v>12500</c:v>
                </c:pt>
                <c:pt idx="20">
                  <c:v>16000</c:v>
                </c:pt>
                <c:pt idx="21">
                  <c:v>20000</c:v>
                </c:pt>
              </c:numCache>
            </c:numRef>
          </c:cat>
          <c:val>
            <c:numRef>
              <c:f>'Tab F2 - wtd SEL calculator'!$N$24:$N$45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A-4793-A533-8322264CA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89672144"/>
        <c:axId val="1785755408"/>
      </c:barChart>
      <c:catAx>
        <c:axId val="178967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 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755408"/>
        <c:crosses val="autoZero"/>
        <c:auto val="0"/>
        <c:lblAlgn val="ctr"/>
        <c:lblOffset val="100"/>
        <c:noMultiLvlLbl val="0"/>
      </c:catAx>
      <c:valAx>
        <c:axId val="1785755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TOB dB SEL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7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HF: Weighted 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'Tab F2 - wtd SEL calculator'!$Q$27:$Q$45</c:f>
              <c:numCache>
                <c:formatCode>0</c:formatCode>
                <c:ptCount val="19"/>
                <c:pt idx="0">
                  <c:v>315</c:v>
                </c:pt>
                <c:pt idx="1">
                  <c:v>400</c:v>
                </c:pt>
                <c:pt idx="2">
                  <c:v>500</c:v>
                </c:pt>
                <c:pt idx="3">
                  <c:v>630</c:v>
                </c:pt>
                <c:pt idx="4">
                  <c:v>800</c:v>
                </c:pt>
                <c:pt idx="5">
                  <c:v>1000</c:v>
                </c:pt>
                <c:pt idx="6">
                  <c:v>1250</c:v>
                </c:pt>
                <c:pt idx="7">
                  <c:v>1600</c:v>
                </c:pt>
                <c:pt idx="8">
                  <c:v>2000</c:v>
                </c:pt>
                <c:pt idx="9">
                  <c:v>2500</c:v>
                </c:pt>
                <c:pt idx="10">
                  <c:v>3150</c:v>
                </c:pt>
                <c:pt idx="11">
                  <c:v>4000</c:v>
                </c:pt>
                <c:pt idx="12">
                  <c:v>5000</c:v>
                </c:pt>
                <c:pt idx="13">
                  <c:v>6300</c:v>
                </c:pt>
                <c:pt idx="14">
                  <c:v>8000</c:v>
                </c:pt>
                <c:pt idx="15">
                  <c:v>10000</c:v>
                </c:pt>
                <c:pt idx="16">
                  <c:v>12500</c:v>
                </c:pt>
                <c:pt idx="17">
                  <c:v>16000</c:v>
                </c:pt>
                <c:pt idx="18">
                  <c:v>20000</c:v>
                </c:pt>
              </c:numCache>
            </c:numRef>
          </c:cat>
          <c:val>
            <c:numRef>
              <c:f>'Tab F2 - wtd SEL calculator'!$V$27:$V$45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E09-85D8-0DF916634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89672144"/>
        <c:axId val="1785755408"/>
      </c:barChart>
      <c:catAx>
        <c:axId val="178967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 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755408"/>
        <c:crosses val="autoZero"/>
        <c:auto val="0"/>
        <c:lblAlgn val="ctr"/>
        <c:lblOffset val="100"/>
        <c:noMultiLvlLbl val="0"/>
      </c:catAx>
      <c:valAx>
        <c:axId val="1785755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TOB dB SEL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7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PW: Weighted 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'Tab F2 - wtd SEL calculator'!$Y$19:$Y$45</c:f>
              <c:numCache>
                <c:formatCode>0</c:formatCode>
                <c:ptCount val="27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  <c:pt idx="21">
                  <c:v>6300</c:v>
                </c:pt>
                <c:pt idx="22">
                  <c:v>8000</c:v>
                </c:pt>
                <c:pt idx="23">
                  <c:v>10000</c:v>
                </c:pt>
                <c:pt idx="24">
                  <c:v>12500</c:v>
                </c:pt>
                <c:pt idx="25">
                  <c:v>16000</c:v>
                </c:pt>
                <c:pt idx="26">
                  <c:v>20000</c:v>
                </c:pt>
              </c:numCache>
            </c:numRef>
          </c:cat>
          <c:val>
            <c:numRef>
              <c:f>'Tab F2 - wtd SEL calculator'!$AD$19:$AD$45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D-4A8F-83AA-0771184B1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89672144"/>
        <c:axId val="1785755408"/>
      </c:barChart>
      <c:catAx>
        <c:axId val="178967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 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755408"/>
        <c:crosses val="autoZero"/>
        <c:auto val="0"/>
        <c:lblAlgn val="ctr"/>
        <c:lblOffset val="100"/>
        <c:noMultiLvlLbl val="0"/>
      </c:catAx>
      <c:valAx>
        <c:axId val="1785755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TOB dB SEL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7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OW: Weighted 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'Tab F2 - wtd SEL calculator'!$AG$20:$AG$45</c:f>
              <c:numCache>
                <c:formatCode>0</c:formatCode>
                <c:ptCount val="26"/>
                <c:pt idx="0">
                  <c:v>63</c:v>
                </c:pt>
                <c:pt idx="1">
                  <c:v>80</c:v>
                </c:pt>
                <c:pt idx="2">
                  <c:v>100</c:v>
                </c:pt>
                <c:pt idx="3">
                  <c:v>125</c:v>
                </c:pt>
                <c:pt idx="4">
                  <c:v>160</c:v>
                </c:pt>
                <c:pt idx="5">
                  <c:v>200</c:v>
                </c:pt>
                <c:pt idx="6">
                  <c:v>250</c:v>
                </c:pt>
                <c:pt idx="7">
                  <c:v>315</c:v>
                </c:pt>
                <c:pt idx="8">
                  <c:v>400</c:v>
                </c:pt>
                <c:pt idx="9">
                  <c:v>500</c:v>
                </c:pt>
                <c:pt idx="10">
                  <c:v>630</c:v>
                </c:pt>
                <c:pt idx="11">
                  <c:v>800</c:v>
                </c:pt>
                <c:pt idx="12">
                  <c:v>1000</c:v>
                </c:pt>
                <c:pt idx="13">
                  <c:v>1250</c:v>
                </c:pt>
                <c:pt idx="14">
                  <c:v>1600</c:v>
                </c:pt>
                <c:pt idx="15">
                  <c:v>2000</c:v>
                </c:pt>
                <c:pt idx="16">
                  <c:v>2500</c:v>
                </c:pt>
                <c:pt idx="17">
                  <c:v>3150</c:v>
                </c:pt>
                <c:pt idx="18">
                  <c:v>4000</c:v>
                </c:pt>
                <c:pt idx="19">
                  <c:v>5000</c:v>
                </c:pt>
                <c:pt idx="20">
                  <c:v>6300</c:v>
                </c:pt>
                <c:pt idx="21">
                  <c:v>8000</c:v>
                </c:pt>
                <c:pt idx="22">
                  <c:v>10000</c:v>
                </c:pt>
                <c:pt idx="23">
                  <c:v>12500</c:v>
                </c:pt>
                <c:pt idx="24">
                  <c:v>16000</c:v>
                </c:pt>
                <c:pt idx="25">
                  <c:v>20000</c:v>
                </c:pt>
              </c:numCache>
            </c:numRef>
          </c:cat>
          <c:val>
            <c:numRef>
              <c:f>'Tab F2 - wtd SEL calculator'!$AL$20:$AL$45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0-4E03-A007-353E4CE85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89672144"/>
        <c:axId val="1785755408"/>
      </c:barChart>
      <c:catAx>
        <c:axId val="178967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 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755408"/>
        <c:crosses val="autoZero"/>
        <c:auto val="0"/>
        <c:lblAlgn val="ctr"/>
        <c:lblOffset val="100"/>
        <c:noMultiLvlLbl val="0"/>
      </c:catAx>
      <c:valAx>
        <c:axId val="1785755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TOB dB SEL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7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Unweighted 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'Tab F2 - wtd SEL calculator'!$AO$4:$AO$45</c:f>
              <c:numCache>
                <c:formatCode>@</c:formatCode>
                <c:ptCount val="42"/>
                <c:pt idx="0">
                  <c:v>1.25</c:v>
                </c:pt>
                <c:pt idx="1">
                  <c:v>1.6</c:v>
                </c:pt>
                <c:pt idx="2">
                  <c:v>2</c:v>
                </c:pt>
                <c:pt idx="3">
                  <c:v>3.15</c:v>
                </c:pt>
                <c:pt idx="4">
                  <c:v>4</c:v>
                </c:pt>
                <c:pt idx="5">
                  <c:v>5</c:v>
                </c:pt>
                <c:pt idx="6">
                  <c:v>6.3</c:v>
                </c:pt>
                <c:pt idx="7" formatCode="General">
                  <c:v>8</c:v>
                </c:pt>
                <c:pt idx="8" formatCode="General">
                  <c:v>10</c:v>
                </c:pt>
                <c:pt idx="9" formatCode="General">
                  <c:v>12.5</c:v>
                </c:pt>
                <c:pt idx="10" formatCode="General">
                  <c:v>16</c:v>
                </c:pt>
                <c:pt idx="11" formatCode="General">
                  <c:v>20</c:v>
                </c:pt>
                <c:pt idx="12" formatCode="General">
                  <c:v>25</c:v>
                </c:pt>
                <c:pt idx="13" formatCode="General">
                  <c:v>31.5</c:v>
                </c:pt>
                <c:pt idx="14" formatCode="General">
                  <c:v>40</c:v>
                </c:pt>
                <c:pt idx="15" formatCode="General">
                  <c:v>50</c:v>
                </c:pt>
                <c:pt idx="16" formatCode="General">
                  <c:v>63</c:v>
                </c:pt>
                <c:pt idx="17" formatCode="General">
                  <c:v>80</c:v>
                </c:pt>
                <c:pt idx="18" formatCode="General">
                  <c:v>100</c:v>
                </c:pt>
                <c:pt idx="19" formatCode="General">
                  <c:v>125</c:v>
                </c:pt>
                <c:pt idx="20" formatCode="General">
                  <c:v>160</c:v>
                </c:pt>
                <c:pt idx="21" formatCode="General">
                  <c:v>200</c:v>
                </c:pt>
                <c:pt idx="22" formatCode="General">
                  <c:v>250</c:v>
                </c:pt>
                <c:pt idx="23" formatCode="General">
                  <c:v>315</c:v>
                </c:pt>
                <c:pt idx="24" formatCode="General">
                  <c:v>400</c:v>
                </c:pt>
                <c:pt idx="25" formatCode="General">
                  <c:v>500</c:v>
                </c:pt>
                <c:pt idx="26" formatCode="General">
                  <c:v>630</c:v>
                </c:pt>
                <c:pt idx="27" formatCode="General">
                  <c:v>800</c:v>
                </c:pt>
                <c:pt idx="28" formatCode="General">
                  <c:v>1000</c:v>
                </c:pt>
                <c:pt idx="29" formatCode="General">
                  <c:v>1250</c:v>
                </c:pt>
                <c:pt idx="30" formatCode="General">
                  <c:v>1600</c:v>
                </c:pt>
                <c:pt idx="31" formatCode="General">
                  <c:v>2000</c:v>
                </c:pt>
                <c:pt idx="32" formatCode="General">
                  <c:v>2500</c:v>
                </c:pt>
                <c:pt idx="33" formatCode="General">
                  <c:v>3150</c:v>
                </c:pt>
                <c:pt idx="34" formatCode="General">
                  <c:v>4000</c:v>
                </c:pt>
                <c:pt idx="35" formatCode="General">
                  <c:v>5000</c:v>
                </c:pt>
                <c:pt idx="36" formatCode="General">
                  <c:v>6300</c:v>
                </c:pt>
                <c:pt idx="37" formatCode="General">
                  <c:v>8000</c:v>
                </c:pt>
                <c:pt idx="38" formatCode="General">
                  <c:v>10000</c:v>
                </c:pt>
                <c:pt idx="39" formatCode="General">
                  <c:v>12500</c:v>
                </c:pt>
                <c:pt idx="40" formatCode="General">
                  <c:v>16000</c:v>
                </c:pt>
                <c:pt idx="41" formatCode="General">
                  <c:v>20000</c:v>
                </c:pt>
              </c:numCache>
            </c:numRef>
          </c:cat>
          <c:val>
            <c:numRef>
              <c:f>'Tab F2 - wtd SEL calculator'!$AT$4:$AT$45</c:f>
              <c:numCache>
                <c:formatCode>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A-4223-B762-EF0E5EF1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89672144"/>
        <c:axId val="1785755408"/>
      </c:barChart>
      <c:catAx>
        <c:axId val="178967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 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755408"/>
        <c:crosses val="autoZero"/>
        <c:auto val="0"/>
        <c:lblAlgn val="ctr"/>
        <c:lblOffset val="100"/>
        <c:noMultiLvlLbl val="0"/>
      </c:catAx>
      <c:valAx>
        <c:axId val="1785755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TOB dB SEL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7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F4 - TOB Center Freq Calc'!$O$2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'Tab F4 - TOB Center Freq Calc'!$A$4:$A$45</c:f>
              <c:numCache>
                <c:formatCode>@</c:formatCode>
                <c:ptCount val="42"/>
                <c:pt idx="0">
                  <c:v>1.25</c:v>
                </c:pt>
                <c:pt idx="1">
                  <c:v>1.6</c:v>
                </c:pt>
                <c:pt idx="2">
                  <c:v>2</c:v>
                </c:pt>
                <c:pt idx="3">
                  <c:v>3.15</c:v>
                </c:pt>
                <c:pt idx="4">
                  <c:v>4</c:v>
                </c:pt>
                <c:pt idx="5">
                  <c:v>5</c:v>
                </c:pt>
                <c:pt idx="6">
                  <c:v>6.3</c:v>
                </c:pt>
                <c:pt idx="7">
                  <c:v>8</c:v>
                </c:pt>
                <c:pt idx="8">
                  <c:v>10</c:v>
                </c:pt>
                <c:pt idx="9">
                  <c:v>12.5</c:v>
                </c:pt>
                <c:pt idx="10">
                  <c:v>16</c:v>
                </c:pt>
                <c:pt idx="11">
                  <c:v>20</c:v>
                </c:pt>
                <c:pt idx="12">
                  <c:v>25</c:v>
                </c:pt>
                <c:pt idx="13">
                  <c:v>31.5</c:v>
                </c:pt>
                <c:pt idx="14">
                  <c:v>40</c:v>
                </c:pt>
                <c:pt idx="15">
                  <c:v>50</c:v>
                </c:pt>
                <c:pt idx="16">
                  <c:v>63</c:v>
                </c:pt>
                <c:pt idx="17">
                  <c:v>80</c:v>
                </c:pt>
                <c:pt idx="18">
                  <c:v>100</c:v>
                </c:pt>
                <c:pt idx="19">
                  <c:v>125</c:v>
                </c:pt>
                <c:pt idx="20">
                  <c:v>160</c:v>
                </c:pt>
                <c:pt idx="21">
                  <c:v>200</c:v>
                </c:pt>
                <c:pt idx="22">
                  <c:v>250</c:v>
                </c:pt>
                <c:pt idx="23">
                  <c:v>315</c:v>
                </c:pt>
                <c:pt idx="24">
                  <c:v>400</c:v>
                </c:pt>
                <c:pt idx="25">
                  <c:v>500</c:v>
                </c:pt>
                <c:pt idx="26">
                  <c:v>630</c:v>
                </c:pt>
                <c:pt idx="27">
                  <c:v>800</c:v>
                </c:pt>
                <c:pt idx="28">
                  <c:v>1000</c:v>
                </c:pt>
                <c:pt idx="29">
                  <c:v>1250</c:v>
                </c:pt>
                <c:pt idx="30">
                  <c:v>1600</c:v>
                </c:pt>
                <c:pt idx="31">
                  <c:v>2000</c:v>
                </c:pt>
                <c:pt idx="32">
                  <c:v>2500</c:v>
                </c:pt>
                <c:pt idx="33">
                  <c:v>3150</c:v>
                </c:pt>
                <c:pt idx="34">
                  <c:v>4000</c:v>
                </c:pt>
                <c:pt idx="35">
                  <c:v>5000</c:v>
                </c:pt>
                <c:pt idx="36">
                  <c:v>6300</c:v>
                </c:pt>
                <c:pt idx="37">
                  <c:v>8000</c:v>
                </c:pt>
                <c:pt idx="38">
                  <c:v>10000</c:v>
                </c:pt>
                <c:pt idx="39">
                  <c:v>12500</c:v>
                </c:pt>
                <c:pt idx="40">
                  <c:v>16000</c:v>
                </c:pt>
                <c:pt idx="41">
                  <c:v>20000</c:v>
                </c:pt>
              </c:numCache>
            </c:numRef>
          </c:cat>
          <c:val>
            <c:numRef>
              <c:f>'Tab F4 - TOB Center Freq Calc'!$O$4:$O$45</c:f>
              <c:numCache>
                <c:formatCode>0</c:formatCode>
                <c:ptCount val="42"/>
                <c:pt idx="0">
                  <c:v>-83.516506170763961</c:v>
                </c:pt>
                <c:pt idx="1">
                  <c:v>-79.214858554043673</c:v>
                </c:pt>
                <c:pt idx="2">
                  <c:v>-75.627857443121144</c:v>
                </c:pt>
                <c:pt idx="3">
                  <c:v>-64.661947109060264</c:v>
                </c:pt>
                <c:pt idx="4">
                  <c:v>-60.528476402064534</c:v>
                </c:pt>
                <c:pt idx="5">
                  <c:v>-55.690971924757996</c:v>
                </c:pt>
                <c:pt idx="6">
                  <c:v>-50.024576854561097</c:v>
                </c:pt>
                <c:pt idx="7">
                  <c:v>-48.195199160983734</c:v>
                </c:pt>
                <c:pt idx="8">
                  <c:v>-47.957075369389145</c:v>
                </c:pt>
                <c:pt idx="9">
                  <c:v>-48.757659829800815</c:v>
                </c:pt>
                <c:pt idx="10">
                  <c:v>-46.99534234567605</c:v>
                </c:pt>
                <c:pt idx="11">
                  <c:v>-46.951779083501904</c:v>
                </c:pt>
                <c:pt idx="12">
                  <c:v>-47.40200115228761</c:v>
                </c:pt>
                <c:pt idx="13">
                  <c:v>-45.487109854102968</c:v>
                </c:pt>
                <c:pt idx="14">
                  <c:v>-47.020549268145984</c:v>
                </c:pt>
                <c:pt idx="15">
                  <c:v>-47.68885936627143</c:v>
                </c:pt>
                <c:pt idx="16">
                  <c:v>-46.183460490381165</c:v>
                </c:pt>
                <c:pt idx="17">
                  <c:v>-46.937957489264654</c:v>
                </c:pt>
                <c:pt idx="18">
                  <c:v>-51.449912000753891</c:v>
                </c:pt>
                <c:pt idx="19">
                  <c:v>-54.959692995788025</c:v>
                </c:pt>
                <c:pt idx="20">
                  <c:v>-55.065509605778146</c:v>
                </c:pt>
                <c:pt idx="21">
                  <c:v>-61.728963969390044</c:v>
                </c:pt>
                <c:pt idx="22">
                  <c:v>-67.762304025686973</c:v>
                </c:pt>
                <c:pt idx="23">
                  <c:v>-71.142751596342265</c:v>
                </c:pt>
                <c:pt idx="24">
                  <c:v>-77.735020477728483</c:v>
                </c:pt>
                <c:pt idx="25">
                  <c:v>-81.857307793841954</c:v>
                </c:pt>
                <c:pt idx="26">
                  <c:v>-82.943977916146224</c:v>
                </c:pt>
                <c:pt idx="27">
                  <c:v>-86.295359448728121</c:v>
                </c:pt>
                <c:pt idx="28">
                  <c:v>-87.603907543041288</c:v>
                </c:pt>
                <c:pt idx="29">
                  <c:v>-92.164888045566741</c:v>
                </c:pt>
                <c:pt idx="30">
                  <c:v>-94.630632527128697</c:v>
                </c:pt>
                <c:pt idx="31">
                  <c:v>-96.609047951982447</c:v>
                </c:pt>
                <c:pt idx="32">
                  <c:v>-99.741896265870551</c:v>
                </c:pt>
                <c:pt idx="33">
                  <c:v>-99.25009087214255</c:v>
                </c:pt>
                <c:pt idx="34">
                  <c:v>-102.36923965539538</c:v>
                </c:pt>
                <c:pt idx="35">
                  <c:v>-105.01501174031874</c:v>
                </c:pt>
                <c:pt idx="36">
                  <c:v>-103.64696913644127</c:v>
                </c:pt>
                <c:pt idx="37">
                  <c:v>-103.02883562424667</c:v>
                </c:pt>
                <c:pt idx="38">
                  <c:v>-111.27846292618263</c:v>
                </c:pt>
                <c:pt idx="39">
                  <c:v>-112.99782624806596</c:v>
                </c:pt>
                <c:pt idx="40">
                  <c:v>-115.54592301791128</c:v>
                </c:pt>
                <c:pt idx="41">
                  <c:v>-116.93982398982401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5-4927-B388-316946D71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669296"/>
        <c:axId val="1785742096"/>
      </c:barChart>
      <c:catAx>
        <c:axId val="182966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</a:t>
                </a:r>
                <a:r>
                  <a:rPr lang="en-US" baseline="0"/>
                  <a:t> Frequency (Hz)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742096"/>
        <c:crosses val="autoZero"/>
        <c:auto val="1"/>
        <c:lblAlgn val="ctr"/>
        <c:lblOffset val="100"/>
        <c:noMultiLvlLbl val="0"/>
      </c:catAx>
      <c:valAx>
        <c:axId val="178574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TOB dB SEL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66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84818</xdr:colOff>
      <xdr:row>50</xdr:row>
      <xdr:rowOff>0</xdr:rowOff>
    </xdr:from>
    <xdr:to>
      <xdr:col>6</xdr:col>
      <xdr:colOff>762000</xdr:colOff>
      <xdr:row>66</xdr:row>
      <xdr:rowOff>163286</xdr:rowOff>
    </xdr:to>
    <xdr:graphicFrame macro="">
      <xdr:nvGraphicFramePr>
        <xdr:cNvPr id="2" name="Chart 1" descr="A bar plot showing weighted SEL for low frequency cetaceans. The plot shows center frequency in Hertz on the x axis from 8 to 20,000 Hertz, and Third Octave Band decibel SEL on the y axis.">
          <a:extLst>
            <a:ext uri="{FF2B5EF4-FFF2-40B4-BE49-F238E27FC236}">
              <a16:creationId xmlns:a16="http://schemas.microsoft.com/office/drawing/2014/main" id="{FAA98D1F-CCF3-4869-B5F2-F35AA5665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108857</xdr:colOff>
      <xdr:row>50</xdr:row>
      <xdr:rowOff>0</xdr:rowOff>
    </xdr:from>
    <xdr:to>
      <xdr:col>14</xdr:col>
      <xdr:colOff>718003</xdr:colOff>
      <xdr:row>66</xdr:row>
      <xdr:rowOff>164647</xdr:rowOff>
    </xdr:to>
    <xdr:graphicFrame macro="">
      <xdr:nvGraphicFramePr>
        <xdr:cNvPr id="3" name="Chart 2" descr="A bar plot showing weighted SEL for mid frequency cetaceans. The plot shows center frequency in Hertz on the x axis from 8 to 20,000 Hertz, and Third Octave Band decibel SEL on the y axis.">
          <a:extLst>
            <a:ext uri="{FF2B5EF4-FFF2-40B4-BE49-F238E27FC236}">
              <a16:creationId xmlns:a16="http://schemas.microsoft.com/office/drawing/2014/main" id="{22B048F0-D431-4DA9-9F92-423FBE9BC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68036</xdr:colOff>
      <xdr:row>50</xdr:row>
      <xdr:rowOff>0</xdr:rowOff>
    </xdr:from>
    <xdr:to>
      <xdr:col>22</xdr:col>
      <xdr:colOff>585107</xdr:colOff>
      <xdr:row>66</xdr:row>
      <xdr:rowOff>160564</xdr:rowOff>
    </xdr:to>
    <xdr:graphicFrame macro="">
      <xdr:nvGraphicFramePr>
        <xdr:cNvPr id="4" name="Chart 3" descr="A bar plot showing weighted SEL for high frequency cetaceans. The plot shows center frequency in Hertz on the x axis from 8 to 20,000 Hertz, and Third Octave Band decibel SEL on the y axis.">
          <a:extLst>
            <a:ext uri="{FF2B5EF4-FFF2-40B4-BE49-F238E27FC236}">
              <a16:creationId xmlns:a16="http://schemas.microsoft.com/office/drawing/2014/main" id="{92D5BCAA-1F31-495E-8C2E-962BF1779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204108</xdr:colOff>
      <xdr:row>50</xdr:row>
      <xdr:rowOff>0</xdr:rowOff>
    </xdr:from>
    <xdr:to>
      <xdr:col>31</xdr:col>
      <xdr:colOff>34472</xdr:colOff>
      <xdr:row>66</xdr:row>
      <xdr:rowOff>69397</xdr:rowOff>
    </xdr:to>
    <xdr:graphicFrame macro="">
      <xdr:nvGraphicFramePr>
        <xdr:cNvPr id="5" name="Chart 4" descr="A bar plot showing weighted SEL for phocid pinnipeds in water. The plot shows center frequency in Hertz on the x axis from 8 to 20,000 Hertz, and Third Octave Band decibel SEL on the y axis.">
          <a:extLst>
            <a:ext uri="{FF2B5EF4-FFF2-40B4-BE49-F238E27FC236}">
              <a16:creationId xmlns:a16="http://schemas.microsoft.com/office/drawing/2014/main" id="{A0569F45-B2DB-4788-A812-877373228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176893</xdr:colOff>
      <xdr:row>50</xdr:row>
      <xdr:rowOff>0</xdr:rowOff>
    </xdr:from>
    <xdr:to>
      <xdr:col>38</xdr:col>
      <xdr:colOff>738868</xdr:colOff>
      <xdr:row>66</xdr:row>
      <xdr:rowOff>55789</xdr:rowOff>
    </xdr:to>
    <xdr:graphicFrame macro="">
      <xdr:nvGraphicFramePr>
        <xdr:cNvPr id="6" name="Chart 5" descr="A bar plot showing weighted SEL for otariid pinnipeds in water. The plot shows center frequency in Hertz on the x axis from 8 to 20,000 Hertz, and Third Octave Band decibel SEL on the y axis.">
          <a:extLst>
            <a:ext uri="{FF2B5EF4-FFF2-40B4-BE49-F238E27FC236}">
              <a16:creationId xmlns:a16="http://schemas.microsoft.com/office/drawing/2014/main" id="{61904B8B-BA51-421F-ADD8-6E7F0DAEE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707573</xdr:colOff>
      <xdr:row>50</xdr:row>
      <xdr:rowOff>99786</xdr:rowOff>
    </xdr:from>
    <xdr:to>
      <xdr:col>48</xdr:col>
      <xdr:colOff>271691</xdr:colOff>
      <xdr:row>66</xdr:row>
      <xdr:rowOff>155575</xdr:rowOff>
    </xdr:to>
    <xdr:graphicFrame macro="">
      <xdr:nvGraphicFramePr>
        <xdr:cNvPr id="7" name="Chart 6" descr="A bar plot showing unweighted SEL. The plot shows center frequency in Hertz on the x axis from 8 to 20,000 Hertz, and Third Octave Band decibel SEL on the y axis.">
          <a:extLst>
            <a:ext uri="{FF2B5EF4-FFF2-40B4-BE49-F238E27FC236}">
              <a16:creationId xmlns:a16="http://schemas.microsoft.com/office/drawing/2014/main" id="{10408DCD-9155-41A4-BE39-6F015CB9F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257174</xdr:colOff>
      <xdr:row>3</xdr:row>
      <xdr:rowOff>161924</xdr:rowOff>
    </xdr:from>
    <xdr:to>
      <xdr:col>27</xdr:col>
      <xdr:colOff>169332</xdr:colOff>
      <xdr:row>29</xdr:row>
      <xdr:rowOff>59266</xdr:rowOff>
    </xdr:to>
    <xdr:graphicFrame macro="">
      <xdr:nvGraphicFramePr>
        <xdr:cNvPr id="2" name="Chart 1" descr="A bar plot showing unweighted SEL. The plot shows center frequency in Hertz on the x axis from 8 to 20,000 Hertz, and Third Octave Band decibel SEL on the y axis.">
          <a:extLst>
            <a:ext uri="{FF2B5EF4-FFF2-40B4-BE49-F238E27FC236}">
              <a16:creationId xmlns:a16="http://schemas.microsoft.com/office/drawing/2014/main" id="{1C032750-EB91-494B-9706-05133B50D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zoomScaleNormal="100" workbookViewId="0">
      <selection activeCell="G19" sqref="G19"/>
    </sheetView>
  </sheetViews>
  <sheetFormatPr defaultRowHeight="15" x14ac:dyDescent="0.25"/>
  <cols>
    <col min="1" max="1" width="34.42578125" customWidth="1"/>
    <col min="2" max="2" width="26" customWidth="1"/>
    <col min="3" max="3" width="20.5703125" customWidth="1"/>
    <col min="4" max="4" width="14.42578125" customWidth="1"/>
    <col min="5" max="5" width="15.5703125" customWidth="1"/>
    <col min="6" max="6" width="20.5703125" customWidth="1"/>
    <col min="7" max="7" width="19.5703125" customWidth="1"/>
    <col min="8" max="8" width="23" customWidth="1"/>
    <col min="9" max="9" width="22.42578125" customWidth="1"/>
    <col min="10" max="10" width="17" customWidth="1"/>
    <col min="11" max="11" width="17.5703125" customWidth="1"/>
    <col min="12" max="12" width="18.5703125" customWidth="1"/>
    <col min="13" max="13" width="16.85546875" customWidth="1"/>
    <col min="14" max="14" width="18.140625" customWidth="1"/>
  </cols>
  <sheetData>
    <row r="1" spans="1:7" ht="21.75" thickTop="1" thickBot="1" x14ac:dyDescent="0.35">
      <c r="A1" s="44" t="s">
        <v>0</v>
      </c>
      <c r="B1" s="45"/>
      <c r="C1" s="45"/>
      <c r="D1" s="45"/>
      <c r="E1" s="45"/>
      <c r="F1" s="45"/>
      <c r="G1" s="45"/>
    </row>
    <row r="2" spans="1:7" ht="15.75" thickTop="1" x14ac:dyDescent="0.25">
      <c r="A2" s="1" t="s">
        <v>112</v>
      </c>
      <c r="B2" s="2"/>
      <c r="C2" s="2"/>
      <c r="D2" s="2"/>
      <c r="E2" s="2"/>
      <c r="F2" s="2"/>
      <c r="G2" s="2"/>
    </row>
    <row r="3" spans="1:7" ht="15.75" thickBot="1" x14ac:dyDescent="0.3">
      <c r="A3" s="3" t="s">
        <v>1</v>
      </c>
      <c r="B3" s="3"/>
      <c r="C3" s="3"/>
      <c r="D3" s="3"/>
      <c r="E3" s="3"/>
      <c r="F3" s="3"/>
      <c r="G3" s="3"/>
    </row>
    <row r="4" spans="1:7" ht="15.75" thickBot="1" x14ac:dyDescent="0.3">
      <c r="A4" s="46"/>
      <c r="B4" s="4" t="s">
        <v>2</v>
      </c>
      <c r="C4" s="4"/>
      <c r="D4" s="4"/>
      <c r="E4" s="3"/>
      <c r="F4" s="3"/>
      <c r="G4" s="3"/>
    </row>
    <row r="5" spans="1:7" ht="15.75" thickBot="1" x14ac:dyDescent="0.3">
      <c r="A5" s="5"/>
      <c r="B5" s="6" t="s">
        <v>3</v>
      </c>
      <c r="C5" s="6"/>
      <c r="D5" s="6"/>
      <c r="E5" s="7"/>
      <c r="F5" s="3"/>
      <c r="G5" s="3"/>
    </row>
    <row r="6" spans="1:7" ht="15.75" thickBot="1" x14ac:dyDescent="0.3">
      <c r="A6" s="8"/>
      <c r="B6" s="4" t="s">
        <v>4</v>
      </c>
      <c r="C6" s="4"/>
      <c r="D6" s="4"/>
      <c r="E6" s="3"/>
      <c r="F6" s="3"/>
      <c r="G6" s="3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4"/>
      <c r="B8" s="3"/>
      <c r="C8" s="3"/>
      <c r="D8" s="3"/>
      <c r="E8" s="3"/>
      <c r="F8" s="3"/>
      <c r="G8" s="3"/>
    </row>
    <row r="9" spans="1:7" ht="15.75" thickBot="1" x14ac:dyDescent="0.3">
      <c r="A9" s="4" t="s">
        <v>5</v>
      </c>
      <c r="B9" s="3"/>
      <c r="C9" s="3"/>
      <c r="D9" s="3"/>
      <c r="E9" s="3"/>
      <c r="F9" s="3"/>
      <c r="G9" s="3"/>
    </row>
    <row r="10" spans="1:7" ht="40.35" customHeight="1" thickTop="1" thickBot="1" x14ac:dyDescent="0.3">
      <c r="A10" s="47" t="s">
        <v>6</v>
      </c>
      <c r="B10" s="48"/>
      <c r="C10" s="9"/>
      <c r="D10" s="10"/>
      <c r="E10" s="10"/>
      <c r="F10" s="10"/>
      <c r="G10" s="3"/>
    </row>
    <row r="11" spans="1:7" ht="99.6" customHeight="1" thickTop="1" thickBot="1" x14ac:dyDescent="0.3">
      <c r="A11" s="49" t="s">
        <v>7</v>
      </c>
      <c r="B11" s="50"/>
      <c r="C11" s="10"/>
      <c r="D11" s="10"/>
      <c r="E11" s="10"/>
      <c r="F11" s="10"/>
      <c r="G11" s="3"/>
    </row>
    <row r="12" spans="1:7" ht="16.5" thickTop="1" thickBot="1" x14ac:dyDescent="0.3">
      <c r="A12" s="11" t="s">
        <v>8</v>
      </c>
      <c r="B12" s="10"/>
      <c r="C12" s="10"/>
      <c r="D12" s="10"/>
      <c r="E12" s="10"/>
      <c r="F12" s="10"/>
      <c r="G12" s="3"/>
    </row>
    <row r="13" spans="1:7" ht="42" customHeight="1" thickTop="1" thickBot="1" x14ac:dyDescent="0.3">
      <c r="A13" s="47" t="s">
        <v>9</v>
      </c>
      <c r="B13" s="50"/>
      <c r="C13" s="10"/>
      <c r="D13" s="10"/>
      <c r="E13" s="10"/>
      <c r="F13" s="10"/>
      <c r="G13" s="3"/>
    </row>
    <row r="14" spans="1:7" ht="15.75" thickTop="1" x14ac:dyDescent="0.25">
      <c r="A14" s="4"/>
      <c r="B14" s="3"/>
      <c r="C14" s="3"/>
      <c r="D14" s="3"/>
      <c r="E14" s="3"/>
      <c r="F14" s="3"/>
      <c r="G14" s="3"/>
    </row>
    <row r="15" spans="1:7" x14ac:dyDescent="0.25">
      <c r="A15" s="88"/>
      <c r="B15" s="94"/>
      <c r="C15" s="94"/>
      <c r="D15" s="94"/>
      <c r="E15" s="94"/>
      <c r="F15" s="94"/>
      <c r="G15" s="94"/>
    </row>
    <row r="16" spans="1:7" x14ac:dyDescent="0.25">
      <c r="A16" s="4" t="s">
        <v>84</v>
      </c>
      <c r="B16" s="3"/>
      <c r="C16" s="3"/>
      <c r="D16" s="3"/>
      <c r="E16" s="3"/>
      <c r="F16" s="3"/>
      <c r="G16" s="3"/>
    </row>
    <row r="17" spans="1:11" x14ac:dyDescent="0.25">
      <c r="A17" s="15" t="s">
        <v>86</v>
      </c>
      <c r="B17" s="16"/>
      <c r="C17" s="17"/>
      <c r="D17" s="17"/>
      <c r="E17" s="17"/>
      <c r="F17" s="17"/>
      <c r="G17" s="17"/>
    </row>
    <row r="18" spans="1:11" ht="15.75" thickBot="1" x14ac:dyDescent="0.3">
      <c r="A18" s="86"/>
      <c r="B18" s="87"/>
      <c r="C18" s="3"/>
      <c r="D18" s="3"/>
      <c r="E18" s="4" t="s">
        <v>10</v>
      </c>
      <c r="F18" s="3"/>
      <c r="G18" s="3"/>
    </row>
    <row r="19" spans="1:11" ht="16.5" thickTop="1" thickBot="1" x14ac:dyDescent="0.3">
      <c r="A19" s="88"/>
      <c r="B19" s="89"/>
      <c r="C19" s="3"/>
      <c r="D19" s="3"/>
      <c r="E19" s="124" t="s">
        <v>46</v>
      </c>
      <c r="F19" s="125"/>
      <c r="G19" s="126"/>
      <c r="H19" s="198" t="s">
        <v>109</v>
      </c>
      <c r="I19" s="198"/>
      <c r="J19" s="198"/>
      <c r="K19" s="199"/>
    </row>
    <row r="20" spans="1:11" ht="19.5" thickTop="1" thickBot="1" x14ac:dyDescent="0.4">
      <c r="A20" s="90"/>
      <c r="B20" s="91"/>
      <c r="C20" s="3"/>
      <c r="D20" s="3"/>
      <c r="E20" s="127" t="s">
        <v>65</v>
      </c>
      <c r="F20" s="127"/>
      <c r="G20" s="127">
        <v>-6</v>
      </c>
      <c r="H20" s="200" t="s">
        <v>68</v>
      </c>
      <c r="I20" s="200"/>
      <c r="J20" s="200"/>
      <c r="K20" s="201"/>
    </row>
    <row r="21" spans="1:11" ht="16.5" thickTop="1" thickBot="1" x14ac:dyDescent="0.3">
      <c r="A21" s="92"/>
      <c r="B21" s="91"/>
      <c r="C21" s="3"/>
      <c r="D21" s="3"/>
      <c r="E21" s="124" t="s">
        <v>64</v>
      </c>
      <c r="F21" s="125"/>
      <c r="G21" s="128">
        <f>SUM(G19,G20)</f>
        <v>-6</v>
      </c>
      <c r="H21" s="198" t="s">
        <v>88</v>
      </c>
      <c r="I21" s="198"/>
      <c r="J21" s="198"/>
      <c r="K21" s="199"/>
    </row>
    <row r="22" spans="1:11" ht="16.5" thickTop="1" thickBot="1" x14ac:dyDescent="0.3">
      <c r="A22" s="88"/>
      <c r="B22" s="91"/>
      <c r="C22" s="3"/>
      <c r="D22" s="58"/>
      <c r="E22" s="129" t="s">
        <v>66</v>
      </c>
      <c r="F22" s="129"/>
      <c r="G22" s="129">
        <v>-30</v>
      </c>
      <c r="H22" s="200" t="s">
        <v>67</v>
      </c>
      <c r="I22" s="200"/>
      <c r="J22" s="200"/>
      <c r="K22" s="201"/>
    </row>
    <row r="23" spans="1:11" ht="16.5" thickTop="1" thickBot="1" x14ac:dyDescent="0.3">
      <c r="A23" s="92"/>
      <c r="B23" s="93"/>
      <c r="C23" s="3"/>
      <c r="D23" s="13"/>
      <c r="E23" s="124" t="s">
        <v>90</v>
      </c>
      <c r="F23" s="124"/>
      <c r="G23" s="129">
        <f>SUM(G21,G22)</f>
        <v>-36</v>
      </c>
    </row>
    <row r="24" spans="1:11" ht="16.5" thickTop="1" thickBot="1" x14ac:dyDescent="0.3">
      <c r="A24" s="88"/>
      <c r="B24" s="87"/>
      <c r="C24" s="3"/>
      <c r="D24" s="13"/>
      <c r="E24" s="124" t="s">
        <v>89</v>
      </c>
      <c r="F24" s="130"/>
      <c r="G24" s="129">
        <f>G21-46</f>
        <v>-52</v>
      </c>
    </row>
    <row r="25" spans="1:11" ht="15.75" thickTop="1" x14ac:dyDescent="0.25">
      <c r="A25" s="3"/>
      <c r="B25" s="32"/>
      <c r="C25" s="33"/>
      <c r="D25" s="33"/>
      <c r="E25" s="33"/>
      <c r="F25" s="33"/>
      <c r="G25" s="33"/>
    </row>
    <row r="26" spans="1:11" ht="15.75" thickBot="1" x14ac:dyDescent="0.3">
      <c r="A26" s="15" t="s">
        <v>87</v>
      </c>
      <c r="B26" s="16"/>
      <c r="C26" s="17"/>
      <c r="D26" s="17"/>
      <c r="E26" s="17"/>
      <c r="F26" s="17"/>
      <c r="G26" s="17"/>
    </row>
    <row r="27" spans="1:11" ht="15.75" thickBot="1" x14ac:dyDescent="0.3">
      <c r="A27" s="34" t="s">
        <v>79</v>
      </c>
      <c r="B27" s="166">
        <f>G21-16</f>
        <v>-22</v>
      </c>
      <c r="C27" s="94"/>
      <c r="D27" s="98"/>
      <c r="E27" s="88"/>
      <c r="F27" s="94"/>
      <c r="G27" s="94"/>
    </row>
    <row r="28" spans="1:11" ht="15.75" thickBot="1" x14ac:dyDescent="0.3">
      <c r="A28" s="20" t="s">
        <v>11</v>
      </c>
      <c r="B28" s="167">
        <v>2.5</v>
      </c>
      <c r="C28" s="3"/>
      <c r="D28" s="3"/>
      <c r="E28" s="3"/>
      <c r="F28" s="18"/>
      <c r="G28" s="3"/>
      <c r="K28" s="59"/>
    </row>
    <row r="29" spans="1:11" ht="15.75" thickBot="1" x14ac:dyDescent="0.3">
      <c r="A29" s="19" t="s">
        <v>12</v>
      </c>
      <c r="B29" s="168">
        <v>10</v>
      </c>
      <c r="C29" s="3"/>
      <c r="D29" s="115" t="s">
        <v>27</v>
      </c>
      <c r="E29" s="116"/>
      <c r="F29" s="116"/>
      <c r="G29" s="116"/>
      <c r="H29" s="117"/>
      <c r="K29" s="59"/>
    </row>
    <row r="30" spans="1:11" ht="15.75" thickBot="1" x14ac:dyDescent="0.3">
      <c r="A30" s="21" t="s">
        <v>13</v>
      </c>
      <c r="B30" s="22" t="str">
        <f>IF($B$27&gt;0,(10^($B$27/10))/$B$29," ")</f>
        <v xml:space="preserve"> </v>
      </c>
      <c r="C30" s="3"/>
      <c r="D30" s="118" t="s">
        <v>28</v>
      </c>
      <c r="E30" s="119"/>
      <c r="F30" s="119"/>
      <c r="G30" s="119"/>
      <c r="H30" s="120"/>
    </row>
    <row r="31" spans="1:11" ht="36.75" x14ac:dyDescent="0.25">
      <c r="A31" s="12" t="s">
        <v>29</v>
      </c>
      <c r="B31" s="18"/>
      <c r="C31" s="3"/>
      <c r="D31" s="118" t="s">
        <v>30</v>
      </c>
      <c r="E31" s="119"/>
      <c r="F31" s="119"/>
      <c r="G31" s="119"/>
      <c r="H31" s="120"/>
    </row>
    <row r="32" spans="1:11" x14ac:dyDescent="0.25">
      <c r="A32" s="13" t="s">
        <v>14</v>
      </c>
      <c r="B32" s="18"/>
      <c r="C32" s="3"/>
      <c r="D32" s="118" t="s">
        <v>31</v>
      </c>
      <c r="E32" s="119"/>
      <c r="F32" s="119"/>
      <c r="G32" s="119"/>
      <c r="H32" s="120"/>
    </row>
    <row r="33" spans="1:9" x14ac:dyDescent="0.25">
      <c r="A33" s="3"/>
      <c r="B33" s="3"/>
      <c r="C33" s="3"/>
      <c r="D33" s="118" t="s">
        <v>32</v>
      </c>
      <c r="E33" s="119"/>
      <c r="F33" s="119"/>
      <c r="G33" s="119"/>
      <c r="H33" s="120"/>
    </row>
    <row r="34" spans="1:9" x14ac:dyDescent="0.25">
      <c r="A34" s="3"/>
      <c r="B34" s="3"/>
      <c r="C34" s="3"/>
      <c r="D34" s="121" t="s">
        <v>33</v>
      </c>
      <c r="E34" s="122"/>
      <c r="F34" s="122"/>
      <c r="G34" s="122"/>
      <c r="H34" s="123"/>
    </row>
    <row r="35" spans="1:9" ht="15.75" thickBot="1" x14ac:dyDescent="0.3">
      <c r="A35" s="4" t="s">
        <v>15</v>
      </c>
      <c r="B35" s="13" t="s">
        <v>16</v>
      </c>
      <c r="C35" s="3"/>
      <c r="D35" s="3"/>
      <c r="E35" s="3"/>
      <c r="F35" s="3"/>
      <c r="G35" s="3"/>
    </row>
    <row r="36" spans="1:9" ht="26.45" customHeight="1" thickBot="1" x14ac:dyDescent="0.3">
      <c r="A36" s="23"/>
      <c r="B36" s="24" t="s">
        <v>17</v>
      </c>
      <c r="C36" s="24" t="s">
        <v>18</v>
      </c>
      <c r="D36" s="24" t="s">
        <v>19</v>
      </c>
      <c r="E36" s="24" t="s">
        <v>20</v>
      </c>
      <c r="F36" s="24" t="s">
        <v>21</v>
      </c>
      <c r="G36" s="24" t="s">
        <v>22</v>
      </c>
      <c r="I36" s="171" t="s">
        <v>121</v>
      </c>
    </row>
    <row r="37" spans="1:9" ht="15.75" thickBot="1" x14ac:dyDescent="0.3">
      <c r="A37" s="25"/>
      <c r="B37" s="26" t="s">
        <v>23</v>
      </c>
      <c r="C37" s="27">
        <v>183</v>
      </c>
      <c r="D37" s="27">
        <v>185</v>
      </c>
      <c r="E37" s="27">
        <v>155</v>
      </c>
      <c r="F37" s="27">
        <v>185</v>
      </c>
      <c r="G37" s="27">
        <v>203</v>
      </c>
      <c r="H37" s="83"/>
      <c r="I37" s="169" t="s">
        <v>122</v>
      </c>
    </row>
    <row r="38" spans="1:9" ht="31.5" customHeight="1" thickBot="1" x14ac:dyDescent="0.3">
      <c r="A38" s="25"/>
      <c r="B38" s="28" t="s">
        <v>24</v>
      </c>
      <c r="C38" s="29" t="e">
        <f>IF((($B$30*PI())/(10^((C37-C51)/10)*$B$28))&gt;30,IF($G$24&gt;C37,(($B$30*PI())/(10^((C37-C51)/10)*$B$28)),30),30)</f>
        <v>#VALUE!</v>
      </c>
      <c r="D38" s="29" t="e">
        <f>IF((($B$30*PI())/(10^((D37-D51)/10)*$B$28))&gt;30,IF($G$24&gt;D37,(($B$30*PI())/(10^((D37-D51)/10)*$B$28)),30),30)</f>
        <v>#VALUE!</v>
      </c>
      <c r="E38" s="29" t="e">
        <f>IF((($B$30*PI())/(10^((E37-E51)/10)*$B$28))&gt;30,IF($G$24&gt;E37,(($B$30*PI())/(10^((E37-E51)/10)*$B$28)),30),30)</f>
        <v>#VALUE!</v>
      </c>
      <c r="F38" s="29" t="e">
        <f>IF((($B$30*PI())/(10^((F37-F51)/10)*$B$28))&gt;30,IF($G$24&gt;F37,(($B$30*PI())/(10^((F37-F51)/10)*$B$28)),30),30)</f>
        <v>#VALUE!</v>
      </c>
      <c r="G38" s="29" t="e">
        <f>IF((($B$30*PI())/(10^((G37-G51)/10)*$B$28))&gt;30,IF($G$24&gt;G37,(($B$30*PI())/(10^((G37-G51)/10)*$B$28)),30),30)</f>
        <v>#VALUE!</v>
      </c>
      <c r="H38" s="84"/>
      <c r="I38" s="169" t="s">
        <v>123</v>
      </c>
    </row>
    <row r="39" spans="1:9" ht="45.75" thickBot="1" x14ac:dyDescent="0.3">
      <c r="A39" s="3"/>
      <c r="B39" s="30" t="s">
        <v>25</v>
      </c>
      <c r="C39" s="31">
        <v>219</v>
      </c>
      <c r="D39" s="31">
        <v>230</v>
      </c>
      <c r="E39" s="31">
        <v>202</v>
      </c>
      <c r="F39" s="31">
        <v>218</v>
      </c>
      <c r="G39" s="31">
        <v>232</v>
      </c>
      <c r="H39" s="85"/>
      <c r="I39" s="169" t="s">
        <v>124</v>
      </c>
    </row>
    <row r="40" spans="1:9" ht="45" customHeight="1" thickBot="1" x14ac:dyDescent="0.3">
      <c r="A40" s="3"/>
      <c r="B40" s="172" t="s">
        <v>26</v>
      </c>
      <c r="C40" s="35">
        <f>IF($G$23&gt;C39, (10^(($G$21-C39)/20)), 30)</f>
        <v>30</v>
      </c>
      <c r="D40" s="35">
        <f>IF($G$23&gt;D39, (10^(($G$21-D39)/20)), 30)</f>
        <v>30</v>
      </c>
      <c r="E40" s="35">
        <f>IF($G$23&gt;E39, (10^(($G$21-E39)/20)), 30)</f>
        <v>30</v>
      </c>
      <c r="F40" s="35">
        <f>IF($G$23&gt;F39, (10^(($G$21-F39)/20)), 30)</f>
        <v>30</v>
      </c>
      <c r="G40" s="35">
        <f>IF($G$23&gt;G39, (10^(($G$21-G39)/20)), 30)</f>
        <v>30</v>
      </c>
      <c r="I40" s="170" t="s">
        <v>125</v>
      </c>
    </row>
    <row r="41" spans="1:9" x14ac:dyDescent="0.25">
      <c r="A41" s="3"/>
      <c r="B41" s="3"/>
      <c r="C41" s="3"/>
      <c r="D41" s="3"/>
      <c r="E41" s="3"/>
      <c r="F41" s="3"/>
      <c r="G41" s="3"/>
    </row>
    <row r="42" spans="1:9" x14ac:dyDescent="0.25">
      <c r="A42" s="3"/>
      <c r="B42" s="3"/>
      <c r="C42" s="3"/>
      <c r="D42" s="3"/>
      <c r="E42" s="3"/>
      <c r="F42" s="3"/>
      <c r="G42" s="3"/>
    </row>
    <row r="43" spans="1:9" x14ac:dyDescent="0.25">
      <c r="A43" s="15" t="s">
        <v>34</v>
      </c>
      <c r="B43" s="16"/>
      <c r="C43" s="17"/>
      <c r="D43" s="17"/>
      <c r="E43" s="17"/>
      <c r="F43" s="17"/>
      <c r="G43" s="17"/>
    </row>
    <row r="44" spans="1:9" ht="15.75" thickBot="1" x14ac:dyDescent="0.3">
      <c r="A44" s="3"/>
      <c r="B44" s="3"/>
      <c r="C44" s="3"/>
      <c r="D44" s="3"/>
      <c r="E44" s="3"/>
      <c r="F44" s="3"/>
      <c r="G44" s="3"/>
    </row>
    <row r="45" spans="1:9" ht="39" thickBot="1" x14ac:dyDescent="0.3">
      <c r="A45" s="3"/>
      <c r="B45" s="26" t="s">
        <v>35</v>
      </c>
      <c r="C45" s="36" t="s">
        <v>36</v>
      </c>
      <c r="D45" s="36" t="s">
        <v>37</v>
      </c>
      <c r="E45" s="36" t="s">
        <v>20</v>
      </c>
      <c r="F45" s="36" t="s">
        <v>38</v>
      </c>
      <c r="G45" s="36" t="s">
        <v>39</v>
      </c>
    </row>
    <row r="46" spans="1:9" ht="15.75" thickBot="1" x14ac:dyDescent="0.3">
      <c r="A46" s="14"/>
      <c r="B46" s="37" t="s">
        <v>40</v>
      </c>
      <c r="C46" s="38">
        <v>1</v>
      </c>
      <c r="D46" s="38">
        <v>1.6</v>
      </c>
      <c r="E46" s="38">
        <v>1.8</v>
      </c>
      <c r="F46" s="38">
        <v>1</v>
      </c>
      <c r="G46" s="38">
        <v>2</v>
      </c>
    </row>
    <row r="47" spans="1:9" ht="15.75" thickBot="1" x14ac:dyDescent="0.3">
      <c r="A47" s="3"/>
      <c r="B47" s="37" t="s">
        <v>41</v>
      </c>
      <c r="C47" s="38">
        <v>2</v>
      </c>
      <c r="D47" s="38">
        <v>2</v>
      </c>
      <c r="E47" s="38">
        <v>2</v>
      </c>
      <c r="F47" s="38">
        <v>2</v>
      </c>
      <c r="G47" s="38">
        <v>2</v>
      </c>
    </row>
    <row r="48" spans="1:9" ht="15.75" thickBot="1" x14ac:dyDescent="0.3">
      <c r="A48" s="3"/>
      <c r="B48" s="39" t="s">
        <v>42</v>
      </c>
      <c r="C48" s="40">
        <v>0.2</v>
      </c>
      <c r="D48" s="40">
        <v>8.8000000000000007</v>
      </c>
      <c r="E48" s="40">
        <v>12</v>
      </c>
      <c r="F48" s="40">
        <v>1.9</v>
      </c>
      <c r="G48" s="40">
        <v>0.94</v>
      </c>
    </row>
    <row r="49" spans="1:8" ht="15.75" thickBot="1" x14ac:dyDescent="0.3">
      <c r="A49" s="3"/>
      <c r="B49" s="39" t="s">
        <v>43</v>
      </c>
      <c r="C49" s="40">
        <v>19</v>
      </c>
      <c r="D49" s="40">
        <v>110</v>
      </c>
      <c r="E49" s="40">
        <v>140</v>
      </c>
      <c r="F49" s="40">
        <v>30</v>
      </c>
      <c r="G49" s="40">
        <v>25</v>
      </c>
    </row>
    <row r="50" spans="1:8" ht="15.75" thickBot="1" x14ac:dyDescent="0.3">
      <c r="A50" s="3"/>
      <c r="B50" s="37" t="s">
        <v>44</v>
      </c>
      <c r="C50" s="38">
        <v>0.13</v>
      </c>
      <c r="D50" s="38">
        <v>1.2</v>
      </c>
      <c r="E50" s="38">
        <v>1.36</v>
      </c>
      <c r="F50" s="38">
        <v>0.75</v>
      </c>
      <c r="G50" s="38">
        <v>0.64</v>
      </c>
    </row>
    <row r="51" spans="1:8" ht="15.75" thickBot="1" x14ac:dyDescent="0.3">
      <c r="A51" s="3"/>
      <c r="B51" s="41" t="s">
        <v>45</v>
      </c>
      <c r="C51" s="42" t="e">
        <f>'Tab F2 - wtd SEL calculator'!$G48-'Tab F2 - wtd SEL calculator'!$D$48</f>
        <v>#VALUE!</v>
      </c>
      <c r="D51" s="42" t="e">
        <f>'Tab F2 - wtd SEL calculator'!O48-'Tab F2 - wtd SEL calculator'!L48</f>
        <v>#VALUE!</v>
      </c>
      <c r="E51" s="42" t="e">
        <f>'Tab F2 - wtd SEL calculator'!W48-'Tab F2 - wtd SEL calculator'!T48</f>
        <v>#VALUE!</v>
      </c>
      <c r="F51" s="42" t="e">
        <f>'Tab F2 - wtd SEL calculator'!AE48-'Tab F2 - wtd SEL calculator'!AB48</f>
        <v>#VALUE!</v>
      </c>
      <c r="G51" s="42" t="e">
        <f>'Tab F2 - wtd SEL calculator'!AM48-'Tab F2 - wtd SEL calculator'!AJ48</f>
        <v>#VALUE!</v>
      </c>
      <c r="H51" s="51"/>
    </row>
    <row r="52" spans="1:8" x14ac:dyDescent="0.25">
      <c r="A52" s="3"/>
      <c r="B52" s="41"/>
      <c r="C52" s="43"/>
      <c r="D52" s="43"/>
      <c r="E52" s="113"/>
      <c r="F52" s="43"/>
      <c r="G52" s="43"/>
      <c r="H52" s="51"/>
    </row>
    <row r="53" spans="1:8" x14ac:dyDescent="0.25">
      <c r="E53" s="114"/>
    </row>
  </sheetData>
  <sheetProtection algorithmName="SHA-512" hashValue="iFCPQTb7HUtgFv0bUljvxMpayBPGUFCWODyeNP7xwUIYYs3ZbPvc6iMQ1cRMP+jdcfa3Anu9knSn7Xt1z1R9QA==" saltValue="3b6ASmQv5iobme9fAfMQlQ==" spinCount="100000" sheet="1" objects="1" scenarios="1" selectLockedCells="1"/>
  <protectedRanges>
    <protectedRange sqref="B10:B11 B13 G19 G21 B27:B29" name="Range1"/>
  </protectedRanges>
  <phoneticPr fontId="34" type="noConversion"/>
  <conditionalFormatting sqref="C45:C51 C36:C37 C39">
    <cfRule type="expression" dxfId="17" priority="42">
      <formula>#REF!="LF"</formula>
    </cfRule>
  </conditionalFormatting>
  <conditionalFormatting sqref="D36:D37 D45:D50 D39">
    <cfRule type="expression" dxfId="16" priority="41">
      <formula>#REF!="MF"</formula>
    </cfRule>
  </conditionalFormatting>
  <conditionalFormatting sqref="E36:E37 E45:E50 E39">
    <cfRule type="expression" dxfId="15" priority="40">
      <formula>#REF!="HF"</formula>
    </cfRule>
  </conditionalFormatting>
  <conditionalFormatting sqref="F36:F37 F45:F50 F39">
    <cfRule type="expression" priority="39">
      <formula>#REF!="PW"</formula>
    </cfRule>
  </conditionalFormatting>
  <conditionalFormatting sqref="G36:G37 G45:G50 G39">
    <cfRule type="expression" priority="38">
      <formula>#REF!="OW"</formula>
    </cfRule>
  </conditionalFormatting>
  <conditionalFormatting sqref="D51:G51">
    <cfRule type="expression" priority="37">
      <formula>#REF!="OW"</formula>
    </cfRule>
  </conditionalFormatting>
  <conditionalFormatting sqref="C51">
    <cfRule type="expression" dxfId="14" priority="33">
      <formula>#REF!="LF"</formula>
    </cfRule>
    <cfRule type="expression" priority="36">
      <formula>#REF!="LF"</formula>
    </cfRule>
  </conditionalFormatting>
  <conditionalFormatting sqref="D51">
    <cfRule type="expression" dxfId="13" priority="34">
      <formula>#REF!="MF"</formula>
    </cfRule>
    <cfRule type="expression" priority="35">
      <formula>#REF!="MF"</formula>
    </cfRule>
  </conditionalFormatting>
  <conditionalFormatting sqref="E51">
    <cfRule type="expression" dxfId="12" priority="32">
      <formula>#REF!="HF"</formula>
    </cfRule>
  </conditionalFormatting>
  <conditionalFormatting sqref="F46:F51 F39">
    <cfRule type="expression" dxfId="11" priority="30">
      <formula>#REF!="PW"</formula>
    </cfRule>
  </conditionalFormatting>
  <conditionalFormatting sqref="G45:G51 G39">
    <cfRule type="expression" dxfId="10" priority="29">
      <formula>#REF!="OW"</formula>
    </cfRule>
  </conditionalFormatting>
  <conditionalFormatting sqref="F37">
    <cfRule type="expression" dxfId="9" priority="28">
      <formula>#REF!="PW"</formula>
    </cfRule>
  </conditionalFormatting>
  <conditionalFormatting sqref="F36:F37 F45:F51 F39">
    <cfRule type="expression" dxfId="8" priority="26">
      <formula>#REF!="PW"</formula>
    </cfRule>
    <cfRule type="expression" priority="27">
      <formula>#REF!="PW"</formula>
    </cfRule>
  </conditionalFormatting>
  <conditionalFormatting sqref="G36:G37">
    <cfRule type="expression" dxfId="7" priority="25">
      <formula>#REF!="OW"</formula>
    </cfRule>
  </conditionalFormatting>
  <conditionalFormatting sqref="D40">
    <cfRule type="expression" dxfId="6" priority="14">
      <formula>#REF!="LF"</formula>
    </cfRule>
  </conditionalFormatting>
  <conditionalFormatting sqref="C40">
    <cfRule type="expression" dxfId="5" priority="10">
      <formula>#REF!="LF"</formula>
    </cfRule>
  </conditionalFormatting>
  <conditionalFormatting sqref="E40">
    <cfRule type="expression" dxfId="4" priority="9">
      <formula>#REF!="LF"</formula>
    </cfRule>
  </conditionalFormatting>
  <conditionalFormatting sqref="F40">
    <cfRule type="expression" dxfId="3" priority="8">
      <formula>#REF!="LF"</formula>
    </cfRule>
  </conditionalFormatting>
  <conditionalFormatting sqref="G40">
    <cfRule type="expression" dxfId="2" priority="7">
      <formula>#REF!="LF"</formula>
    </cfRule>
  </conditionalFormatting>
  <conditionalFormatting sqref="C38:G38">
    <cfRule type="expression" dxfId="1" priority="6">
      <formula>#REF!="MF"</formula>
    </cfRule>
  </conditionalFormatting>
  <conditionalFormatting sqref="C38:G38 C40:G40">
    <cfRule type="cellIs" dxfId="0" priority="1" operator="equal">
      <formula>30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>
      <selection activeCell="D4" sqref="D4"/>
    </sheetView>
  </sheetViews>
  <sheetFormatPr defaultRowHeight="15" x14ac:dyDescent="0.25"/>
  <cols>
    <col min="1" max="1" width="11.5703125" customWidth="1"/>
    <col min="2" max="2" width="12.42578125" customWidth="1"/>
    <col min="3" max="3" width="13.85546875" customWidth="1"/>
    <col min="4" max="4" width="12.85546875" customWidth="1"/>
    <col min="5" max="5" width="17" customWidth="1"/>
    <col min="12" max="12" width="8.7109375" customWidth="1"/>
  </cols>
  <sheetData>
    <row r="1" spans="1:12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0.25" x14ac:dyDescent="0.3">
      <c r="A2" s="100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ht="20.25" x14ac:dyDescent="0.3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 ht="20.25" x14ac:dyDescent="0.3">
      <c r="A4" s="109" t="s">
        <v>101</v>
      </c>
      <c r="B4" s="106"/>
      <c r="C4" s="106"/>
      <c r="D4" s="106"/>
      <c r="E4" s="106"/>
      <c r="F4" s="106"/>
      <c r="G4" s="99"/>
      <c r="H4" s="99"/>
      <c r="I4" s="99"/>
      <c r="J4" s="99"/>
      <c r="K4" s="99"/>
    </row>
    <row r="5" spans="1:12" ht="20.25" x14ac:dyDescent="0.3">
      <c r="A5" s="100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2" x14ac:dyDescent="0.25">
      <c r="A6" s="101" t="s">
        <v>47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2" x14ac:dyDescent="0.25">
      <c r="A7" s="99" t="s">
        <v>48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2" x14ac:dyDescent="0.25">
      <c r="A8" s="99" t="s">
        <v>52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2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2" x14ac:dyDescent="0.25">
      <c r="A10" s="99"/>
      <c r="B10" s="99"/>
      <c r="C10" s="102" t="s">
        <v>49</v>
      </c>
      <c r="D10" s="214" t="s">
        <v>51</v>
      </c>
      <c r="E10" s="102" t="s">
        <v>75</v>
      </c>
      <c r="F10" s="99"/>
      <c r="G10" s="99"/>
      <c r="H10" s="99"/>
      <c r="I10" s="99"/>
      <c r="J10" s="99"/>
      <c r="K10" s="99"/>
    </row>
    <row r="11" spans="1:12" x14ac:dyDescent="0.25">
      <c r="A11" s="99"/>
      <c r="B11" s="99"/>
      <c r="C11" s="107"/>
      <c r="D11" s="214">
        <f>C11*100000</f>
        <v>0</v>
      </c>
      <c r="E11" s="105" t="e">
        <f>20*LOG10(D11/0.000001)</f>
        <v>#NUM!</v>
      </c>
      <c r="F11" s="99"/>
      <c r="G11" s="99"/>
      <c r="H11" s="99"/>
      <c r="I11" s="99"/>
      <c r="J11" s="99"/>
      <c r="K11" s="99"/>
    </row>
    <row r="12" spans="1:12" x14ac:dyDescent="0.25">
      <c r="A12" s="101"/>
      <c r="B12" s="101"/>
      <c r="C12" s="103"/>
      <c r="D12" s="104"/>
      <c r="E12" s="104"/>
      <c r="F12" s="99"/>
      <c r="G12" s="99"/>
      <c r="H12" s="99"/>
      <c r="I12" s="99"/>
      <c r="J12" s="99"/>
      <c r="K12" s="99"/>
    </row>
    <row r="13" spans="1:12" x14ac:dyDescent="0.25">
      <c r="A13" s="99"/>
      <c r="B13" s="99"/>
      <c r="C13" s="104"/>
      <c r="D13" s="102" t="s">
        <v>51</v>
      </c>
      <c r="E13" s="102" t="s">
        <v>76</v>
      </c>
      <c r="F13" s="99"/>
      <c r="G13" s="99"/>
      <c r="H13" s="99"/>
      <c r="I13" s="99"/>
      <c r="J13" s="99"/>
      <c r="K13" s="99"/>
    </row>
    <row r="14" spans="1:12" x14ac:dyDescent="0.25">
      <c r="A14" s="99"/>
      <c r="B14" s="99"/>
      <c r="C14" s="104"/>
      <c r="D14" s="107"/>
      <c r="E14" s="105" t="e">
        <f>20*LOG10(D14/0.000001)</f>
        <v>#NUM!</v>
      </c>
      <c r="F14" s="99"/>
      <c r="G14" s="99"/>
      <c r="H14" s="99"/>
      <c r="I14" s="99"/>
      <c r="J14" s="99"/>
      <c r="K14" s="99"/>
    </row>
    <row r="15" spans="1:12" ht="15.75" thickBot="1" x14ac:dyDescent="0.3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2" x14ac:dyDescent="0.25">
      <c r="A16" s="202" t="s">
        <v>110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4"/>
      <c r="L16" s="205"/>
    </row>
    <row r="17" spans="1:12" x14ac:dyDescent="0.25">
      <c r="A17" s="206" t="s">
        <v>113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8"/>
      <c r="L17" s="209"/>
    </row>
    <row r="18" spans="1:12" ht="15.75" thickBot="1" x14ac:dyDescent="0.3">
      <c r="A18" s="210" t="s">
        <v>114</v>
      </c>
      <c r="B18" s="211"/>
      <c r="C18" s="211"/>
      <c r="D18" s="211"/>
      <c r="E18" s="211"/>
      <c r="F18" s="212"/>
      <c r="G18" s="212"/>
      <c r="H18" s="212"/>
      <c r="I18" s="212"/>
      <c r="J18" s="212"/>
      <c r="K18" s="212"/>
      <c r="L18" s="213"/>
    </row>
    <row r="19" spans="1:12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</sheetData>
  <sheetProtection algorithmName="SHA-512" hashValue="04f6SbMMNt2EfTgAkdpskKcMJ8kvkKTV16jOYeYU8jAxK7l162bLsuE/6K94G9po2tCY1Nvt3u6+1T+2GTTm5A==" saltValue="FYXPl6tUDjsp21Id2zOcLw==" spinCount="100000" sheet="1" selectLockedCells="1"/>
  <protectedRanges>
    <protectedRange algorithmName="SHA-512" hashValue="3c+BULT7a5LFx47HIxX/tJ2XKYw3Szn1G/d1ojt/mDWTfuOljWdQY5Lls+PoLzCsAWOxh4l71xyEtUgeBZF55Q==" saltValue="C/O/rYAXfT3mDE0MfSiIgQ==" spinCount="100000" sqref="A4 C11 D14" name="Range1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B48"/>
  <sheetViews>
    <sheetView showGridLines="0" zoomScale="70" zoomScaleNormal="70" workbookViewId="0">
      <selection activeCell="AW13" sqref="AW13"/>
    </sheetView>
  </sheetViews>
  <sheetFormatPr defaultRowHeight="15" x14ac:dyDescent="0.25"/>
  <cols>
    <col min="1" max="2" width="10.42578125" customWidth="1"/>
    <col min="3" max="3" width="10.85546875" customWidth="1"/>
    <col min="4" max="4" width="15.5703125" customWidth="1"/>
    <col min="5" max="5" width="10.42578125" customWidth="1"/>
    <col min="6" max="6" width="12.140625" customWidth="1"/>
    <col min="7" max="7" width="11.140625" customWidth="1"/>
    <col min="9" max="9" width="9.42578125" customWidth="1"/>
    <col min="10" max="11" width="12.42578125" customWidth="1"/>
    <col min="12" max="12" width="12" customWidth="1"/>
    <col min="13" max="13" width="13.42578125" customWidth="1"/>
    <col min="14" max="14" width="11" customWidth="1"/>
    <col min="15" max="15" width="11.28515625" customWidth="1"/>
    <col min="17" max="17" width="10.5703125" customWidth="1"/>
    <col min="18" max="19" width="12.42578125" customWidth="1"/>
    <col min="20" max="20" width="12" customWidth="1"/>
    <col min="21" max="21" width="13.42578125" customWidth="1"/>
    <col min="22" max="22" width="11" customWidth="1"/>
    <col min="23" max="23" width="11.140625" customWidth="1"/>
    <col min="25" max="25" width="9.42578125" customWidth="1"/>
    <col min="26" max="27" width="12.42578125" customWidth="1"/>
    <col min="28" max="28" width="12" customWidth="1"/>
    <col min="29" max="29" width="13.42578125" customWidth="1"/>
    <col min="30" max="30" width="11" customWidth="1"/>
    <col min="31" max="31" width="11.140625" customWidth="1"/>
    <col min="33" max="33" width="10" customWidth="1"/>
    <col min="34" max="35" width="12.42578125" customWidth="1"/>
    <col min="36" max="36" width="12" customWidth="1"/>
    <col min="37" max="37" width="13.42578125" customWidth="1"/>
    <col min="38" max="38" width="11" customWidth="1"/>
    <col min="39" max="39" width="11.140625" customWidth="1"/>
    <col min="41" max="41" width="12.5703125" customWidth="1"/>
    <col min="42" max="42" width="13" customWidth="1"/>
    <col min="43" max="43" width="11.140625" customWidth="1"/>
    <col min="44" max="44" width="11.42578125" customWidth="1"/>
    <col min="45" max="46" width="10.140625" customWidth="1"/>
    <col min="47" max="47" width="12" customWidth="1"/>
    <col min="49" max="49" width="12.42578125" customWidth="1"/>
    <col min="50" max="50" width="13.42578125" customWidth="1"/>
    <col min="51" max="51" width="12.140625" customWidth="1"/>
    <col min="52" max="52" width="12.28515625" customWidth="1"/>
    <col min="53" max="54" width="9.5703125" customWidth="1"/>
  </cols>
  <sheetData>
    <row r="1" spans="1:54" ht="18.600000000000001" customHeight="1" x14ac:dyDescent="0.25">
      <c r="A1" s="191" t="s">
        <v>85</v>
      </c>
      <c r="B1" s="191"/>
      <c r="C1" s="191"/>
      <c r="D1" s="191"/>
      <c r="E1" s="191"/>
      <c r="F1" s="191"/>
      <c r="G1" s="191"/>
      <c r="I1" s="191" t="s">
        <v>85</v>
      </c>
      <c r="J1" s="191"/>
      <c r="K1" s="191"/>
      <c r="L1" s="191"/>
      <c r="M1" s="191"/>
      <c r="N1" s="191"/>
      <c r="O1" s="191"/>
      <c r="Q1" s="191" t="s">
        <v>85</v>
      </c>
      <c r="R1" s="191"/>
      <c r="S1" s="191"/>
      <c r="T1" s="191"/>
      <c r="U1" s="191"/>
      <c r="V1" s="191"/>
      <c r="W1" s="191"/>
      <c r="Y1" s="191" t="s">
        <v>85</v>
      </c>
      <c r="Z1" s="191"/>
      <c r="AA1" s="191"/>
      <c r="AB1" s="191"/>
      <c r="AC1" s="191"/>
      <c r="AD1" s="191"/>
      <c r="AE1" s="191"/>
      <c r="AG1" s="191" t="s">
        <v>85</v>
      </c>
      <c r="AH1" s="191"/>
      <c r="AI1" s="191"/>
      <c r="AJ1" s="191"/>
      <c r="AK1" s="191"/>
      <c r="AL1" s="191"/>
      <c r="AM1" s="191"/>
      <c r="AO1" s="191" t="s">
        <v>85</v>
      </c>
      <c r="AP1" s="191"/>
      <c r="AQ1" s="191"/>
      <c r="AR1" s="191"/>
      <c r="AS1" s="191"/>
      <c r="AT1" s="191"/>
      <c r="AU1" s="191"/>
    </row>
    <row r="2" spans="1:54" ht="22.5" customHeight="1" thickBot="1" x14ac:dyDescent="0.3">
      <c r="A2" s="192" t="s">
        <v>104</v>
      </c>
      <c r="B2" s="192"/>
      <c r="C2" s="192"/>
      <c r="D2" s="192"/>
      <c r="E2" s="192"/>
      <c r="F2" s="192"/>
      <c r="G2" s="192"/>
      <c r="I2" s="192" t="s">
        <v>105</v>
      </c>
      <c r="J2" s="192"/>
      <c r="K2" s="192"/>
      <c r="L2" s="192"/>
      <c r="M2" s="192"/>
      <c r="N2" s="192"/>
      <c r="O2" s="192"/>
      <c r="Q2" s="192" t="s">
        <v>106</v>
      </c>
      <c r="R2" s="192"/>
      <c r="S2" s="192"/>
      <c r="T2" s="192"/>
      <c r="U2" s="192"/>
      <c r="V2" s="192"/>
      <c r="W2" s="192"/>
      <c r="Y2" s="192" t="s">
        <v>107</v>
      </c>
      <c r="Z2" s="192"/>
      <c r="AA2" s="192"/>
      <c r="AB2" s="192"/>
      <c r="AC2" s="192"/>
      <c r="AD2" s="192"/>
      <c r="AE2" s="192"/>
      <c r="AG2" s="192" t="s">
        <v>108</v>
      </c>
      <c r="AH2" s="192"/>
      <c r="AI2" s="192"/>
      <c r="AJ2" s="192"/>
      <c r="AK2" s="192"/>
      <c r="AL2" s="192"/>
      <c r="AM2" s="192"/>
      <c r="AO2" s="192" t="s">
        <v>119</v>
      </c>
      <c r="AP2" s="192"/>
      <c r="AQ2" s="192"/>
      <c r="AR2" s="192"/>
      <c r="AS2" s="192"/>
      <c r="AT2" s="192"/>
      <c r="AU2" s="192"/>
    </row>
    <row r="3" spans="1:54" ht="75" customHeight="1" x14ac:dyDescent="0.25">
      <c r="A3" s="216" t="s">
        <v>53</v>
      </c>
      <c r="B3" s="216" t="s">
        <v>111</v>
      </c>
      <c r="C3" s="216" t="s">
        <v>81</v>
      </c>
      <c r="D3" s="217" t="s">
        <v>80</v>
      </c>
      <c r="E3" s="216" t="s">
        <v>54</v>
      </c>
      <c r="F3" s="216" t="s">
        <v>55</v>
      </c>
      <c r="G3" s="217" t="s">
        <v>56</v>
      </c>
      <c r="I3" s="216" t="s">
        <v>53</v>
      </c>
      <c r="J3" s="216" t="s">
        <v>111</v>
      </c>
      <c r="K3" s="216" t="s">
        <v>81</v>
      </c>
      <c r="L3" s="217" t="s">
        <v>80</v>
      </c>
      <c r="M3" s="216" t="s">
        <v>54</v>
      </c>
      <c r="N3" s="216" t="s">
        <v>55</v>
      </c>
      <c r="O3" s="217" t="s">
        <v>56</v>
      </c>
      <c r="Q3" s="216" t="s">
        <v>53</v>
      </c>
      <c r="R3" s="216" t="s">
        <v>111</v>
      </c>
      <c r="S3" s="216" t="s">
        <v>81</v>
      </c>
      <c r="T3" s="217" t="s">
        <v>80</v>
      </c>
      <c r="U3" s="216" t="s">
        <v>54</v>
      </c>
      <c r="V3" s="216" t="s">
        <v>55</v>
      </c>
      <c r="W3" s="217" t="s">
        <v>56</v>
      </c>
      <c r="Y3" s="216" t="s">
        <v>53</v>
      </c>
      <c r="Z3" s="216" t="s">
        <v>111</v>
      </c>
      <c r="AA3" s="216" t="s">
        <v>81</v>
      </c>
      <c r="AB3" s="217" t="s">
        <v>80</v>
      </c>
      <c r="AC3" s="216" t="s">
        <v>54</v>
      </c>
      <c r="AD3" s="216" t="s">
        <v>55</v>
      </c>
      <c r="AE3" s="217" t="s">
        <v>56</v>
      </c>
      <c r="AG3" s="216" t="s">
        <v>53</v>
      </c>
      <c r="AH3" s="216" t="s">
        <v>111</v>
      </c>
      <c r="AI3" s="216" t="s">
        <v>81</v>
      </c>
      <c r="AJ3" s="217" t="s">
        <v>80</v>
      </c>
      <c r="AK3" s="216" t="s">
        <v>54</v>
      </c>
      <c r="AL3" s="216" t="s">
        <v>55</v>
      </c>
      <c r="AM3" s="217" t="s">
        <v>56</v>
      </c>
      <c r="AO3" s="216" t="s">
        <v>53</v>
      </c>
      <c r="AP3" s="216" t="s">
        <v>111</v>
      </c>
      <c r="AQ3" s="216" t="s">
        <v>81</v>
      </c>
      <c r="AR3" s="217" t="s">
        <v>80</v>
      </c>
      <c r="AS3" s="216" t="s">
        <v>54</v>
      </c>
      <c r="AT3" s="216" t="s">
        <v>55</v>
      </c>
      <c r="AU3" s="217" t="s">
        <v>56</v>
      </c>
      <c r="AW3" s="75" t="s">
        <v>35</v>
      </c>
      <c r="AX3" s="76" t="s">
        <v>57</v>
      </c>
      <c r="AY3" s="76" t="s">
        <v>58</v>
      </c>
      <c r="AZ3" s="76" t="s">
        <v>59</v>
      </c>
      <c r="BA3" s="76" t="s">
        <v>60</v>
      </c>
      <c r="BB3" s="77" t="s">
        <v>61</v>
      </c>
    </row>
    <row r="4" spans="1:54" ht="21.6" customHeight="1" x14ac:dyDescent="0.25">
      <c r="A4" s="182" t="s">
        <v>102</v>
      </c>
      <c r="B4" s="183"/>
      <c r="C4" s="183"/>
      <c r="D4" s="183"/>
      <c r="E4" s="183"/>
      <c r="F4" s="183"/>
      <c r="G4" s="184"/>
      <c r="I4" s="173" t="s">
        <v>102</v>
      </c>
      <c r="J4" s="174"/>
      <c r="K4" s="174"/>
      <c r="L4" s="174"/>
      <c r="M4" s="174"/>
      <c r="N4" s="174"/>
      <c r="O4" s="175"/>
      <c r="Q4" s="173" t="s">
        <v>103</v>
      </c>
      <c r="R4" s="174"/>
      <c r="S4" s="174"/>
      <c r="T4" s="174"/>
      <c r="U4" s="174"/>
      <c r="V4" s="174"/>
      <c r="W4" s="175"/>
      <c r="Y4" s="173" t="s">
        <v>103</v>
      </c>
      <c r="Z4" s="174"/>
      <c r="AA4" s="174"/>
      <c r="AB4" s="174"/>
      <c r="AC4" s="174"/>
      <c r="AD4" s="174"/>
      <c r="AE4" s="175"/>
      <c r="AG4" s="173" t="s">
        <v>103</v>
      </c>
      <c r="AH4" s="174"/>
      <c r="AI4" s="174"/>
      <c r="AJ4" s="174"/>
      <c r="AK4" s="174"/>
      <c r="AL4" s="174"/>
      <c r="AM4" s="175"/>
      <c r="AO4" s="155">
        <v>1.25</v>
      </c>
      <c r="AP4" s="134">
        <f>'Tab F4 - TOB Center Freq Calc'!O4</f>
        <v>-83.516506170763961</v>
      </c>
      <c r="AQ4" s="135" t="str">
        <f>IF(AP4&gt;0,AP4+(10*LOG('Tab F5 - TOB Factor Table'!E2))," ")</f>
        <v xml:space="preserve"> </v>
      </c>
      <c r="AR4" s="143" t="str">
        <f t="shared" ref="AR4:AR10" si="0">IF(AP4&gt;0,10^(AQ4/10)," ")</f>
        <v xml:space="preserve"> </v>
      </c>
      <c r="AS4" s="147">
        <v>0</v>
      </c>
      <c r="AT4" s="135" t="str">
        <f t="shared" ref="AT4:AT10" si="1">IF(AP4&gt;0,AQ4+AS4," ")</f>
        <v xml:space="preserve"> </v>
      </c>
      <c r="AU4" s="143" t="str">
        <f t="shared" ref="AU4:AU10" si="2">IF(AP4&gt;0,10^(AT4/10)," ")</f>
        <v xml:space="preserve"> </v>
      </c>
      <c r="AW4" s="78" t="s">
        <v>40</v>
      </c>
      <c r="AX4" s="53">
        <v>1</v>
      </c>
      <c r="AY4" s="53">
        <v>1.6</v>
      </c>
      <c r="AZ4" s="53">
        <v>1.8</v>
      </c>
      <c r="BA4" s="53">
        <v>1</v>
      </c>
      <c r="BB4" s="79">
        <v>2</v>
      </c>
    </row>
    <row r="5" spans="1:54" ht="14.45" customHeight="1" x14ac:dyDescent="0.25">
      <c r="A5" s="185"/>
      <c r="B5" s="186"/>
      <c r="C5" s="186"/>
      <c r="D5" s="186"/>
      <c r="E5" s="186"/>
      <c r="F5" s="186"/>
      <c r="G5" s="187"/>
      <c r="I5" s="176"/>
      <c r="J5" s="177"/>
      <c r="K5" s="177"/>
      <c r="L5" s="177"/>
      <c r="M5" s="177"/>
      <c r="N5" s="177"/>
      <c r="O5" s="178"/>
      <c r="Q5" s="176"/>
      <c r="R5" s="177"/>
      <c r="S5" s="177"/>
      <c r="T5" s="177"/>
      <c r="U5" s="177"/>
      <c r="V5" s="177"/>
      <c r="W5" s="178"/>
      <c r="Y5" s="176"/>
      <c r="Z5" s="177"/>
      <c r="AA5" s="177"/>
      <c r="AB5" s="177"/>
      <c r="AC5" s="177"/>
      <c r="AD5" s="177"/>
      <c r="AE5" s="178"/>
      <c r="AG5" s="176"/>
      <c r="AH5" s="177"/>
      <c r="AI5" s="177"/>
      <c r="AJ5" s="177"/>
      <c r="AK5" s="177"/>
      <c r="AL5" s="177"/>
      <c r="AM5" s="178"/>
      <c r="AO5" s="155">
        <v>1.6</v>
      </c>
      <c r="AP5" s="134">
        <f>'Tab F4 - TOB Center Freq Calc'!O5</f>
        <v>-79.214858554043673</v>
      </c>
      <c r="AQ5" s="135" t="str">
        <f>IF(AP5&gt;0,AP5+(10*LOG('Tab F5 - TOB Factor Table'!E3))," ")</f>
        <v xml:space="preserve"> </v>
      </c>
      <c r="AR5" s="143" t="str">
        <f t="shared" si="0"/>
        <v xml:space="preserve"> </v>
      </c>
      <c r="AS5" s="147">
        <v>0</v>
      </c>
      <c r="AT5" s="135" t="str">
        <f t="shared" si="1"/>
        <v xml:space="preserve"> </v>
      </c>
      <c r="AU5" s="143" t="str">
        <f t="shared" si="2"/>
        <v xml:space="preserve"> </v>
      </c>
      <c r="AW5" s="78" t="s">
        <v>41</v>
      </c>
      <c r="AX5" s="53">
        <v>2</v>
      </c>
      <c r="AY5" s="53">
        <v>2</v>
      </c>
      <c r="AZ5" s="53">
        <v>2</v>
      </c>
      <c r="BA5" s="53">
        <v>2</v>
      </c>
      <c r="BB5" s="79">
        <v>2</v>
      </c>
    </row>
    <row r="6" spans="1:54" ht="14.45" customHeight="1" x14ac:dyDescent="0.25">
      <c r="A6" s="185"/>
      <c r="B6" s="186"/>
      <c r="C6" s="186"/>
      <c r="D6" s="186"/>
      <c r="E6" s="186"/>
      <c r="F6" s="186"/>
      <c r="G6" s="187"/>
      <c r="I6" s="176"/>
      <c r="J6" s="177"/>
      <c r="K6" s="177"/>
      <c r="L6" s="177"/>
      <c r="M6" s="177"/>
      <c r="N6" s="177"/>
      <c r="O6" s="178"/>
      <c r="Q6" s="176"/>
      <c r="R6" s="177"/>
      <c r="S6" s="177"/>
      <c r="T6" s="177"/>
      <c r="U6" s="177"/>
      <c r="V6" s="177"/>
      <c r="W6" s="178"/>
      <c r="Y6" s="176"/>
      <c r="Z6" s="177"/>
      <c r="AA6" s="177"/>
      <c r="AB6" s="177"/>
      <c r="AC6" s="177"/>
      <c r="AD6" s="177"/>
      <c r="AE6" s="178"/>
      <c r="AG6" s="176"/>
      <c r="AH6" s="177"/>
      <c r="AI6" s="177"/>
      <c r="AJ6" s="177"/>
      <c r="AK6" s="177"/>
      <c r="AL6" s="177"/>
      <c r="AM6" s="178"/>
      <c r="AO6" s="155">
        <v>2</v>
      </c>
      <c r="AP6" s="134">
        <f>'Tab F4 - TOB Center Freq Calc'!O6</f>
        <v>-75.627857443121144</v>
      </c>
      <c r="AQ6" s="135" t="str">
        <f>IF(AP6&gt;0,AP6+(10*LOG('Tab F5 - TOB Factor Table'!E4))," ")</f>
        <v xml:space="preserve"> </v>
      </c>
      <c r="AR6" s="143" t="str">
        <f t="shared" si="0"/>
        <v xml:space="preserve"> </v>
      </c>
      <c r="AS6" s="147">
        <v>0</v>
      </c>
      <c r="AT6" s="135" t="str">
        <f t="shared" si="1"/>
        <v xml:space="preserve"> </v>
      </c>
      <c r="AU6" s="143" t="str">
        <f t="shared" si="2"/>
        <v xml:space="preserve"> </v>
      </c>
      <c r="AW6" s="78" t="s">
        <v>62</v>
      </c>
      <c r="AX6" s="53">
        <v>0.2</v>
      </c>
      <c r="AY6" s="53">
        <v>8.8000000000000007</v>
      </c>
      <c r="AZ6" s="53">
        <v>12</v>
      </c>
      <c r="BA6" s="53">
        <v>1.9</v>
      </c>
      <c r="BB6" s="79">
        <v>0.94</v>
      </c>
    </row>
    <row r="7" spans="1:54" ht="14.45" customHeight="1" x14ac:dyDescent="0.25">
      <c r="A7" s="185"/>
      <c r="B7" s="186"/>
      <c r="C7" s="186"/>
      <c r="D7" s="186"/>
      <c r="E7" s="186"/>
      <c r="F7" s="186"/>
      <c r="G7" s="187"/>
      <c r="I7" s="176"/>
      <c r="J7" s="177"/>
      <c r="K7" s="177"/>
      <c r="L7" s="177"/>
      <c r="M7" s="177"/>
      <c r="N7" s="177"/>
      <c r="O7" s="178"/>
      <c r="Q7" s="176"/>
      <c r="R7" s="177"/>
      <c r="S7" s="177"/>
      <c r="T7" s="177"/>
      <c r="U7" s="177"/>
      <c r="V7" s="177"/>
      <c r="W7" s="178"/>
      <c r="Y7" s="176"/>
      <c r="Z7" s="177"/>
      <c r="AA7" s="177"/>
      <c r="AB7" s="177"/>
      <c r="AC7" s="177"/>
      <c r="AD7" s="177"/>
      <c r="AE7" s="178"/>
      <c r="AG7" s="176"/>
      <c r="AH7" s="177"/>
      <c r="AI7" s="177"/>
      <c r="AJ7" s="177"/>
      <c r="AK7" s="177"/>
      <c r="AL7" s="177"/>
      <c r="AM7" s="178"/>
      <c r="AO7" s="155">
        <v>3.15</v>
      </c>
      <c r="AP7" s="134">
        <f>'Tab F4 - TOB Center Freq Calc'!O7</f>
        <v>-64.661947109060264</v>
      </c>
      <c r="AQ7" s="135" t="str">
        <f>IF(AP7&gt;0,AP7+(10*LOG('Tab F5 - TOB Factor Table'!E5))," ")</f>
        <v xml:space="preserve"> </v>
      </c>
      <c r="AR7" s="143" t="str">
        <f t="shared" si="0"/>
        <v xml:space="preserve"> </v>
      </c>
      <c r="AS7" s="147">
        <v>0</v>
      </c>
      <c r="AT7" s="135" t="str">
        <f t="shared" si="1"/>
        <v xml:space="preserve"> </v>
      </c>
      <c r="AU7" s="143" t="str">
        <f t="shared" si="2"/>
        <v xml:space="preserve"> </v>
      </c>
      <c r="AW7" s="78" t="s">
        <v>63</v>
      </c>
      <c r="AX7" s="53">
        <v>19</v>
      </c>
      <c r="AY7" s="53">
        <v>110</v>
      </c>
      <c r="AZ7" s="53">
        <v>140</v>
      </c>
      <c r="BA7" s="53">
        <v>30</v>
      </c>
      <c r="BB7" s="79">
        <v>25</v>
      </c>
    </row>
    <row r="8" spans="1:54" ht="14.45" customHeight="1" thickBot="1" x14ac:dyDescent="0.3">
      <c r="A8" s="185"/>
      <c r="B8" s="186"/>
      <c r="C8" s="186"/>
      <c r="D8" s="186"/>
      <c r="E8" s="186"/>
      <c r="F8" s="186"/>
      <c r="G8" s="187"/>
      <c r="I8" s="176"/>
      <c r="J8" s="177"/>
      <c r="K8" s="177"/>
      <c r="L8" s="177"/>
      <c r="M8" s="177"/>
      <c r="N8" s="177"/>
      <c r="O8" s="178"/>
      <c r="Q8" s="176"/>
      <c r="R8" s="177"/>
      <c r="S8" s="177"/>
      <c r="T8" s="177"/>
      <c r="U8" s="177"/>
      <c r="V8" s="177"/>
      <c r="W8" s="178"/>
      <c r="Y8" s="176"/>
      <c r="Z8" s="177"/>
      <c r="AA8" s="177"/>
      <c r="AB8" s="177"/>
      <c r="AC8" s="177"/>
      <c r="AD8" s="177"/>
      <c r="AE8" s="178"/>
      <c r="AG8" s="176"/>
      <c r="AH8" s="177"/>
      <c r="AI8" s="177"/>
      <c r="AJ8" s="177"/>
      <c r="AK8" s="177"/>
      <c r="AL8" s="177"/>
      <c r="AM8" s="178"/>
      <c r="AO8" s="155">
        <v>4</v>
      </c>
      <c r="AP8" s="134">
        <f>'Tab F4 - TOB Center Freq Calc'!O8</f>
        <v>-60.528476402064534</v>
      </c>
      <c r="AQ8" s="135" t="str">
        <f>IF(AP8&gt;0,AP8+(10*LOG('Tab F5 - TOB Factor Table'!E6))," ")</f>
        <v xml:space="preserve"> </v>
      </c>
      <c r="AR8" s="143" t="str">
        <f t="shared" si="0"/>
        <v xml:space="preserve"> </v>
      </c>
      <c r="AS8" s="147">
        <v>0</v>
      </c>
      <c r="AT8" s="135" t="str">
        <f t="shared" si="1"/>
        <v xml:space="preserve"> </v>
      </c>
      <c r="AU8" s="143" t="str">
        <f t="shared" si="2"/>
        <v xml:space="preserve"> </v>
      </c>
      <c r="AW8" s="80" t="s">
        <v>44</v>
      </c>
      <c r="AX8" s="81">
        <v>0.13</v>
      </c>
      <c r="AY8" s="81">
        <v>1.2</v>
      </c>
      <c r="AZ8" s="81">
        <v>1.36</v>
      </c>
      <c r="BA8" s="81">
        <v>0.75</v>
      </c>
      <c r="BB8" s="82">
        <v>0.64</v>
      </c>
    </row>
    <row r="9" spans="1:54" ht="14.45" customHeight="1" x14ac:dyDescent="0.25">
      <c r="A9" s="185"/>
      <c r="B9" s="186"/>
      <c r="C9" s="186"/>
      <c r="D9" s="186"/>
      <c r="E9" s="186"/>
      <c r="F9" s="186"/>
      <c r="G9" s="187"/>
      <c r="I9" s="176"/>
      <c r="J9" s="177"/>
      <c r="K9" s="177"/>
      <c r="L9" s="177"/>
      <c r="M9" s="177"/>
      <c r="N9" s="177"/>
      <c r="O9" s="178"/>
      <c r="Q9" s="176"/>
      <c r="R9" s="177"/>
      <c r="S9" s="177"/>
      <c r="T9" s="177"/>
      <c r="U9" s="177"/>
      <c r="V9" s="177"/>
      <c r="W9" s="178"/>
      <c r="Y9" s="176"/>
      <c r="Z9" s="177"/>
      <c r="AA9" s="177"/>
      <c r="AB9" s="177"/>
      <c r="AC9" s="177"/>
      <c r="AD9" s="177"/>
      <c r="AE9" s="178"/>
      <c r="AG9" s="176"/>
      <c r="AH9" s="177"/>
      <c r="AI9" s="177"/>
      <c r="AJ9" s="177"/>
      <c r="AK9" s="177"/>
      <c r="AL9" s="177"/>
      <c r="AM9" s="178"/>
      <c r="AO9" s="155">
        <v>5</v>
      </c>
      <c r="AP9" s="134">
        <f>'Tab F4 - TOB Center Freq Calc'!O9</f>
        <v>-55.690971924757996</v>
      </c>
      <c r="AQ9" s="135" t="str">
        <f>IF(AP9&gt;0,AP9+(10*LOG('Tab F5 - TOB Factor Table'!E7))," ")</f>
        <v xml:space="preserve"> </v>
      </c>
      <c r="AR9" s="143" t="str">
        <f t="shared" si="0"/>
        <v xml:space="preserve"> </v>
      </c>
      <c r="AS9" s="147">
        <v>0</v>
      </c>
      <c r="AT9" s="135" t="str">
        <f t="shared" si="1"/>
        <v xml:space="preserve"> </v>
      </c>
      <c r="AU9" s="143" t="str">
        <f t="shared" si="2"/>
        <v xml:space="preserve"> </v>
      </c>
    </row>
    <row r="10" spans="1:54" ht="14.45" customHeight="1" x14ac:dyDescent="0.25">
      <c r="A10" s="188"/>
      <c r="B10" s="189"/>
      <c r="C10" s="189"/>
      <c r="D10" s="189"/>
      <c r="E10" s="189"/>
      <c r="F10" s="189"/>
      <c r="G10" s="190"/>
      <c r="I10" s="176"/>
      <c r="J10" s="177"/>
      <c r="K10" s="177"/>
      <c r="L10" s="177"/>
      <c r="M10" s="177"/>
      <c r="N10" s="177"/>
      <c r="O10" s="178"/>
      <c r="Q10" s="176"/>
      <c r="R10" s="177"/>
      <c r="S10" s="177"/>
      <c r="T10" s="177"/>
      <c r="U10" s="177"/>
      <c r="V10" s="177"/>
      <c r="W10" s="178"/>
      <c r="Y10" s="176"/>
      <c r="Z10" s="177"/>
      <c r="AA10" s="177"/>
      <c r="AB10" s="177"/>
      <c r="AC10" s="177"/>
      <c r="AD10" s="177"/>
      <c r="AE10" s="178"/>
      <c r="AG10" s="176"/>
      <c r="AH10" s="177"/>
      <c r="AI10" s="177"/>
      <c r="AJ10" s="177"/>
      <c r="AK10" s="177"/>
      <c r="AL10" s="177"/>
      <c r="AM10" s="178"/>
      <c r="AO10" s="155">
        <v>6.3</v>
      </c>
      <c r="AP10" s="134">
        <f>'Tab F4 - TOB Center Freq Calc'!O10</f>
        <v>-50.024576854561097</v>
      </c>
      <c r="AQ10" s="135" t="str">
        <f>IF(AP10&gt;0,AP10+(10*LOG('Tab F5 - TOB Factor Table'!E8))," ")</f>
        <v xml:space="preserve"> </v>
      </c>
      <c r="AR10" s="143" t="str">
        <f t="shared" si="0"/>
        <v xml:space="preserve"> </v>
      </c>
      <c r="AS10" s="147">
        <v>0</v>
      </c>
      <c r="AT10" s="135" t="str">
        <f t="shared" si="1"/>
        <v xml:space="preserve"> </v>
      </c>
      <c r="AU10" s="143" t="str">
        <f t="shared" si="2"/>
        <v xml:space="preserve"> </v>
      </c>
    </row>
    <row r="11" spans="1:54" ht="14.45" customHeight="1" x14ac:dyDescent="0.25">
      <c r="A11" s="52">
        <v>8</v>
      </c>
      <c r="B11" s="134">
        <f>'Tab F4 - TOB Center Freq Calc'!O11</f>
        <v>-48.195199160983734</v>
      </c>
      <c r="C11" s="135" t="str">
        <f>IF(B11&gt;0,B11+(10*LOG('Tab F5 - TOB Factor Table'!B2))," ")</f>
        <v xml:space="preserve"> </v>
      </c>
      <c r="D11" s="143" t="str">
        <f t="shared" ref="D11:D17" si="3">IF(B11&gt;0,10^(C11/10)," ")</f>
        <v xml:space="preserve"> </v>
      </c>
      <c r="E11" s="147" t="str">
        <f>IF(B11&gt;0,'Tab F3 - Wtg Values Table'!B2," ")</f>
        <v xml:space="preserve"> </v>
      </c>
      <c r="F11" s="135" t="str">
        <f t="shared" ref="F11:F17" si="4">IF(B11&gt;0,C11+E11," ")</f>
        <v xml:space="preserve"> </v>
      </c>
      <c r="G11" s="143" t="str">
        <f t="shared" ref="G11:G17" si="5">IF(B11&gt;0,10^(F11/10)," ")</f>
        <v xml:space="preserve"> </v>
      </c>
      <c r="H11" s="137"/>
      <c r="I11" s="176"/>
      <c r="J11" s="177"/>
      <c r="K11" s="177"/>
      <c r="L11" s="177"/>
      <c r="M11" s="177"/>
      <c r="N11" s="177"/>
      <c r="O11" s="178"/>
      <c r="P11" s="137"/>
      <c r="Q11" s="176"/>
      <c r="R11" s="177"/>
      <c r="S11" s="177"/>
      <c r="T11" s="177"/>
      <c r="U11" s="177"/>
      <c r="V11" s="177"/>
      <c r="W11" s="178"/>
      <c r="X11" s="137"/>
      <c r="Y11" s="176"/>
      <c r="Z11" s="177"/>
      <c r="AA11" s="177"/>
      <c r="AB11" s="177"/>
      <c r="AC11" s="177"/>
      <c r="AD11" s="177"/>
      <c r="AE11" s="178"/>
      <c r="AF11" s="137"/>
      <c r="AG11" s="176"/>
      <c r="AH11" s="177"/>
      <c r="AI11" s="177"/>
      <c r="AJ11" s="177"/>
      <c r="AK11" s="177"/>
      <c r="AL11" s="177"/>
      <c r="AM11" s="178"/>
      <c r="AO11" s="52">
        <v>8</v>
      </c>
      <c r="AP11" s="134">
        <f>'Tab F4 - TOB Center Freq Calc'!O11</f>
        <v>-48.195199160983734</v>
      </c>
      <c r="AQ11" s="135" t="str">
        <f>IF(AP11&gt;0,AP11+(10*LOG('Tab F5 - TOB Factor Table'!B2))," ")</f>
        <v xml:space="preserve"> </v>
      </c>
      <c r="AR11" s="143" t="str">
        <f>IF(AP11&gt;0,10^(AQ11/10)," ")</f>
        <v xml:space="preserve"> </v>
      </c>
      <c r="AS11" s="147">
        <v>0</v>
      </c>
      <c r="AT11" s="135" t="str">
        <f t="shared" ref="AT11:AT45" si="6">IF(AP11&gt;0,AQ11+AS11," ")</f>
        <v xml:space="preserve"> </v>
      </c>
      <c r="AU11" s="143" t="str">
        <f t="shared" ref="AU11:AU45" si="7">IF(AP11&gt;0,10^(AT11/10)," ")</f>
        <v xml:space="preserve"> </v>
      </c>
    </row>
    <row r="12" spans="1:54" ht="14.45" customHeight="1" x14ac:dyDescent="0.25">
      <c r="A12" s="52">
        <v>10</v>
      </c>
      <c r="B12" s="134">
        <f>'Tab F4 - TOB Center Freq Calc'!O12</f>
        <v>-47.957075369389145</v>
      </c>
      <c r="C12" s="135" t="str">
        <f>IF(B12&gt;0,B12+(10*LOG('Tab F5 - TOB Factor Table'!B3))," ")</f>
        <v xml:space="preserve"> </v>
      </c>
      <c r="D12" s="143" t="str">
        <f t="shared" si="3"/>
        <v xml:space="preserve"> </v>
      </c>
      <c r="E12" s="147" t="str">
        <f>IF(B12&gt;0,'Tab F3 - Wtg Values Table'!B3," ")</f>
        <v xml:space="preserve"> </v>
      </c>
      <c r="F12" s="135" t="str">
        <f t="shared" si="4"/>
        <v xml:space="preserve"> </v>
      </c>
      <c r="G12" s="143" t="str">
        <f t="shared" si="5"/>
        <v xml:space="preserve"> </v>
      </c>
      <c r="H12" s="137"/>
      <c r="I12" s="176"/>
      <c r="J12" s="177"/>
      <c r="K12" s="177"/>
      <c r="L12" s="177"/>
      <c r="M12" s="177"/>
      <c r="N12" s="177"/>
      <c r="O12" s="178"/>
      <c r="P12" s="137"/>
      <c r="Q12" s="176"/>
      <c r="R12" s="177"/>
      <c r="S12" s="177"/>
      <c r="T12" s="177"/>
      <c r="U12" s="177"/>
      <c r="V12" s="177"/>
      <c r="W12" s="178"/>
      <c r="X12" s="137"/>
      <c r="Y12" s="176"/>
      <c r="Z12" s="177"/>
      <c r="AA12" s="177"/>
      <c r="AB12" s="177"/>
      <c r="AC12" s="177"/>
      <c r="AD12" s="177"/>
      <c r="AE12" s="178"/>
      <c r="AF12" s="137"/>
      <c r="AG12" s="176"/>
      <c r="AH12" s="177"/>
      <c r="AI12" s="177"/>
      <c r="AJ12" s="177"/>
      <c r="AK12" s="177"/>
      <c r="AL12" s="177"/>
      <c r="AM12" s="178"/>
      <c r="AO12" s="52">
        <v>10</v>
      </c>
      <c r="AP12" s="134">
        <f>'Tab F4 - TOB Center Freq Calc'!O12</f>
        <v>-47.957075369389145</v>
      </c>
      <c r="AQ12" s="135" t="str">
        <f>IF(AP12&gt;0,AP12+(10*LOG('Tab F5 - TOB Factor Table'!B3))," ")</f>
        <v xml:space="preserve"> </v>
      </c>
      <c r="AR12" s="143" t="str">
        <f t="shared" ref="AR12:AR45" si="8">IF(AP12&gt;0,10^(AQ12/10)," ")</f>
        <v xml:space="preserve"> </v>
      </c>
      <c r="AS12" s="147">
        <v>0</v>
      </c>
      <c r="AT12" s="135" t="str">
        <f t="shared" si="6"/>
        <v xml:space="preserve"> </v>
      </c>
      <c r="AU12" s="143" t="str">
        <f t="shared" si="7"/>
        <v xml:space="preserve"> </v>
      </c>
      <c r="AW12" s="162"/>
    </row>
    <row r="13" spans="1:54" ht="14.45" customHeight="1" x14ac:dyDescent="0.25">
      <c r="A13" s="52">
        <v>12.5</v>
      </c>
      <c r="B13" s="134">
        <f>'Tab F4 - TOB Center Freq Calc'!O13</f>
        <v>-48.757659829800815</v>
      </c>
      <c r="C13" s="135" t="str">
        <f>IF(B13&gt;0,B13+(10*LOG('Tab F5 - TOB Factor Table'!B4))," ")</f>
        <v xml:space="preserve"> </v>
      </c>
      <c r="D13" s="143" t="str">
        <f t="shared" si="3"/>
        <v xml:space="preserve"> </v>
      </c>
      <c r="E13" s="147" t="str">
        <f>IF(B13&gt;0,'Tab F3 - Wtg Values Table'!B4," ")</f>
        <v xml:space="preserve"> </v>
      </c>
      <c r="F13" s="135" t="str">
        <f t="shared" si="4"/>
        <v xml:space="preserve"> </v>
      </c>
      <c r="G13" s="143" t="str">
        <f t="shared" si="5"/>
        <v xml:space="preserve"> </v>
      </c>
      <c r="H13" s="137"/>
      <c r="I13" s="176"/>
      <c r="J13" s="177"/>
      <c r="K13" s="177"/>
      <c r="L13" s="177"/>
      <c r="M13" s="177"/>
      <c r="N13" s="177"/>
      <c r="O13" s="178"/>
      <c r="P13" s="137"/>
      <c r="Q13" s="176"/>
      <c r="R13" s="177"/>
      <c r="S13" s="177"/>
      <c r="T13" s="177"/>
      <c r="U13" s="177"/>
      <c r="V13" s="177"/>
      <c r="W13" s="178"/>
      <c r="X13" s="137"/>
      <c r="Y13" s="176"/>
      <c r="Z13" s="177"/>
      <c r="AA13" s="177"/>
      <c r="AB13" s="177"/>
      <c r="AC13" s="177"/>
      <c r="AD13" s="177"/>
      <c r="AE13" s="178"/>
      <c r="AF13" s="137"/>
      <c r="AG13" s="176"/>
      <c r="AH13" s="177"/>
      <c r="AI13" s="177"/>
      <c r="AJ13" s="177"/>
      <c r="AK13" s="177"/>
      <c r="AL13" s="177"/>
      <c r="AM13" s="178"/>
      <c r="AO13" s="52">
        <v>12.5</v>
      </c>
      <c r="AP13" s="134">
        <f>'Tab F4 - TOB Center Freq Calc'!O13</f>
        <v>-48.757659829800815</v>
      </c>
      <c r="AQ13" s="135" t="str">
        <f>IF(AP13&gt;0,AP13+(10*LOG('Tab F5 - TOB Factor Table'!B4))," ")</f>
        <v xml:space="preserve"> </v>
      </c>
      <c r="AR13" s="143" t="str">
        <f t="shared" si="8"/>
        <v xml:space="preserve"> </v>
      </c>
      <c r="AS13" s="147">
        <v>0</v>
      </c>
      <c r="AT13" s="135" t="str">
        <f t="shared" si="6"/>
        <v xml:space="preserve"> </v>
      </c>
      <c r="AU13" s="143" t="str">
        <f t="shared" si="7"/>
        <v xml:space="preserve"> </v>
      </c>
    </row>
    <row r="14" spans="1:54" ht="14.45" customHeight="1" x14ac:dyDescent="0.25">
      <c r="A14" s="52">
        <v>16</v>
      </c>
      <c r="B14" s="134">
        <f>'Tab F4 - TOB Center Freq Calc'!O14</f>
        <v>-46.99534234567605</v>
      </c>
      <c r="C14" s="135" t="str">
        <f>IF(B14&gt;0,B14+(10*LOG('Tab F5 - TOB Factor Table'!B5))," ")</f>
        <v xml:space="preserve"> </v>
      </c>
      <c r="D14" s="143" t="str">
        <f t="shared" si="3"/>
        <v xml:space="preserve"> </v>
      </c>
      <c r="E14" s="147" t="str">
        <f>IF(B14&gt;0,'Tab F3 - Wtg Values Table'!B5," ")</f>
        <v xml:space="preserve"> </v>
      </c>
      <c r="F14" s="135" t="str">
        <f t="shared" si="4"/>
        <v xml:space="preserve"> </v>
      </c>
      <c r="G14" s="143" t="str">
        <f t="shared" si="5"/>
        <v xml:space="preserve"> </v>
      </c>
      <c r="H14" s="137"/>
      <c r="I14" s="176"/>
      <c r="J14" s="177"/>
      <c r="K14" s="177"/>
      <c r="L14" s="177"/>
      <c r="M14" s="177"/>
      <c r="N14" s="177"/>
      <c r="O14" s="178"/>
      <c r="P14" s="137"/>
      <c r="Q14" s="176"/>
      <c r="R14" s="177"/>
      <c r="S14" s="177"/>
      <c r="T14" s="177"/>
      <c r="U14" s="177"/>
      <c r="V14" s="177"/>
      <c r="W14" s="178"/>
      <c r="X14" s="137"/>
      <c r="Y14" s="176"/>
      <c r="Z14" s="177"/>
      <c r="AA14" s="177"/>
      <c r="AB14" s="177"/>
      <c r="AC14" s="177"/>
      <c r="AD14" s="177"/>
      <c r="AE14" s="178"/>
      <c r="AF14" s="137"/>
      <c r="AG14" s="176"/>
      <c r="AH14" s="177"/>
      <c r="AI14" s="177"/>
      <c r="AJ14" s="177"/>
      <c r="AK14" s="177"/>
      <c r="AL14" s="177"/>
      <c r="AM14" s="178"/>
      <c r="AO14" s="52">
        <v>16</v>
      </c>
      <c r="AP14" s="134">
        <f>'Tab F4 - TOB Center Freq Calc'!O14</f>
        <v>-46.99534234567605</v>
      </c>
      <c r="AQ14" s="135" t="str">
        <f>IF(AP14&gt;0,AP14+(10*LOG('Tab F5 - TOB Factor Table'!B5))," ")</f>
        <v xml:space="preserve"> </v>
      </c>
      <c r="AR14" s="143" t="str">
        <f t="shared" si="8"/>
        <v xml:space="preserve"> </v>
      </c>
      <c r="AS14" s="147">
        <v>0</v>
      </c>
      <c r="AT14" s="135" t="str">
        <f t="shared" si="6"/>
        <v xml:space="preserve"> </v>
      </c>
      <c r="AU14" s="143" t="str">
        <f t="shared" si="7"/>
        <v xml:space="preserve"> </v>
      </c>
    </row>
    <row r="15" spans="1:54" ht="15" customHeight="1" x14ac:dyDescent="0.25">
      <c r="A15" s="52">
        <v>20</v>
      </c>
      <c r="B15" s="134">
        <f>'Tab F4 - TOB Center Freq Calc'!O15</f>
        <v>-46.951779083501904</v>
      </c>
      <c r="C15" s="135" t="str">
        <f>IF(B15&gt;0,B15+(10*LOG('Tab F5 - TOB Factor Table'!B6))," ")</f>
        <v xml:space="preserve"> </v>
      </c>
      <c r="D15" s="143" t="str">
        <f t="shared" si="3"/>
        <v xml:space="preserve"> </v>
      </c>
      <c r="E15" s="147" t="str">
        <f>IF(B15&gt;0,'Tab F3 - Wtg Values Table'!B6," ")</f>
        <v xml:space="preserve"> </v>
      </c>
      <c r="F15" s="135" t="str">
        <f t="shared" si="4"/>
        <v xml:space="preserve"> </v>
      </c>
      <c r="G15" s="143" t="str">
        <f t="shared" si="5"/>
        <v xml:space="preserve"> </v>
      </c>
      <c r="H15" s="137"/>
      <c r="I15" s="176"/>
      <c r="J15" s="177"/>
      <c r="K15" s="177"/>
      <c r="L15" s="177"/>
      <c r="M15" s="177"/>
      <c r="N15" s="177"/>
      <c r="O15" s="178"/>
      <c r="P15" s="137"/>
      <c r="Q15" s="176"/>
      <c r="R15" s="177"/>
      <c r="S15" s="177"/>
      <c r="T15" s="177"/>
      <c r="U15" s="177"/>
      <c r="V15" s="177"/>
      <c r="W15" s="178"/>
      <c r="X15" s="137"/>
      <c r="Y15" s="176"/>
      <c r="Z15" s="177"/>
      <c r="AA15" s="177"/>
      <c r="AB15" s="177"/>
      <c r="AC15" s="177"/>
      <c r="AD15" s="177"/>
      <c r="AE15" s="178"/>
      <c r="AF15" s="137"/>
      <c r="AG15" s="176"/>
      <c r="AH15" s="177"/>
      <c r="AI15" s="177"/>
      <c r="AJ15" s="177"/>
      <c r="AK15" s="177"/>
      <c r="AL15" s="177"/>
      <c r="AM15" s="178"/>
      <c r="AO15" s="52">
        <v>20</v>
      </c>
      <c r="AP15" s="134">
        <f>'Tab F4 - TOB Center Freq Calc'!O15</f>
        <v>-46.951779083501904</v>
      </c>
      <c r="AQ15" s="135" t="str">
        <f>IF(AP15&gt;0,AP15+(10*LOG('Tab F5 - TOB Factor Table'!B6))," ")</f>
        <v xml:space="preserve"> </v>
      </c>
      <c r="AR15" s="143" t="str">
        <f t="shared" si="8"/>
        <v xml:space="preserve"> </v>
      </c>
      <c r="AS15" s="147">
        <v>0</v>
      </c>
      <c r="AT15" s="135" t="str">
        <f t="shared" si="6"/>
        <v xml:space="preserve"> </v>
      </c>
      <c r="AU15" s="143" t="str">
        <f t="shared" si="7"/>
        <v xml:space="preserve"> </v>
      </c>
    </row>
    <row r="16" spans="1:54" ht="14.45" customHeight="1" x14ac:dyDescent="0.25">
      <c r="A16" s="52">
        <v>25</v>
      </c>
      <c r="B16" s="134">
        <f>'Tab F4 - TOB Center Freq Calc'!O16</f>
        <v>-47.40200115228761</v>
      </c>
      <c r="C16" s="135" t="str">
        <f>IF(B16&gt;0,B16+(10*LOG('Tab F5 - TOB Factor Table'!B7))," ")</f>
        <v xml:space="preserve"> </v>
      </c>
      <c r="D16" s="143" t="str">
        <f t="shared" si="3"/>
        <v xml:space="preserve"> </v>
      </c>
      <c r="E16" s="147" t="str">
        <f>IF(B16&gt;0,'Tab F3 - Wtg Values Table'!B7," ")</f>
        <v xml:space="preserve"> </v>
      </c>
      <c r="F16" s="135" t="str">
        <f t="shared" si="4"/>
        <v xml:space="preserve"> </v>
      </c>
      <c r="G16" s="143" t="str">
        <f t="shared" si="5"/>
        <v xml:space="preserve"> </v>
      </c>
      <c r="H16" s="137"/>
      <c r="I16" s="176"/>
      <c r="J16" s="177"/>
      <c r="K16" s="177"/>
      <c r="L16" s="177"/>
      <c r="M16" s="177"/>
      <c r="N16" s="177"/>
      <c r="O16" s="178"/>
      <c r="P16" s="137"/>
      <c r="Q16" s="176"/>
      <c r="R16" s="177"/>
      <c r="S16" s="177"/>
      <c r="T16" s="177"/>
      <c r="U16" s="177"/>
      <c r="V16" s="177"/>
      <c r="W16" s="178"/>
      <c r="X16" s="137"/>
      <c r="Y16" s="176"/>
      <c r="Z16" s="177"/>
      <c r="AA16" s="177"/>
      <c r="AB16" s="177"/>
      <c r="AC16" s="177"/>
      <c r="AD16" s="177"/>
      <c r="AE16" s="178"/>
      <c r="AF16" s="137"/>
      <c r="AG16" s="176"/>
      <c r="AH16" s="177"/>
      <c r="AI16" s="177"/>
      <c r="AJ16" s="177"/>
      <c r="AK16" s="177"/>
      <c r="AL16" s="177"/>
      <c r="AM16" s="178"/>
      <c r="AO16" s="52">
        <v>25</v>
      </c>
      <c r="AP16" s="134">
        <f>'Tab F4 - TOB Center Freq Calc'!O16</f>
        <v>-47.40200115228761</v>
      </c>
      <c r="AQ16" s="135" t="str">
        <f>IF(AP16&gt;0,AP16+(10*LOG('Tab F5 - TOB Factor Table'!B7))," ")</f>
        <v xml:space="preserve"> </v>
      </c>
      <c r="AR16" s="143" t="str">
        <f t="shared" si="8"/>
        <v xml:space="preserve"> </v>
      </c>
      <c r="AS16" s="147">
        <v>0</v>
      </c>
      <c r="AT16" s="135" t="str">
        <f t="shared" si="6"/>
        <v xml:space="preserve"> </v>
      </c>
      <c r="AU16" s="143" t="str">
        <f t="shared" si="7"/>
        <v xml:space="preserve"> </v>
      </c>
    </row>
    <row r="17" spans="1:49" ht="14.45" customHeight="1" x14ac:dyDescent="0.25">
      <c r="A17" s="112">
        <v>31.5</v>
      </c>
      <c r="B17" s="134">
        <f>'Tab F4 - TOB Center Freq Calc'!O17</f>
        <v>-45.487109854102968</v>
      </c>
      <c r="C17" s="135" t="str">
        <f>IF(B17&gt;0,B17+(10*LOG('Tab F5 - TOB Factor Table'!B8))," ")</f>
        <v xml:space="preserve"> </v>
      </c>
      <c r="D17" s="144" t="str">
        <f t="shared" si="3"/>
        <v xml:space="preserve"> </v>
      </c>
      <c r="E17" s="149" t="str">
        <f>IF(B17&gt;0,'Tab F3 - Wtg Values Table'!B8," ")</f>
        <v xml:space="preserve"> </v>
      </c>
      <c r="F17" s="138" t="str">
        <f t="shared" si="4"/>
        <v xml:space="preserve"> </v>
      </c>
      <c r="G17" s="144" t="str">
        <f t="shared" si="5"/>
        <v xml:space="preserve"> </v>
      </c>
      <c r="H17" s="137"/>
      <c r="I17" s="176"/>
      <c r="J17" s="177"/>
      <c r="K17" s="177"/>
      <c r="L17" s="177"/>
      <c r="M17" s="177"/>
      <c r="N17" s="177"/>
      <c r="O17" s="178"/>
      <c r="P17" s="137"/>
      <c r="Q17" s="176"/>
      <c r="R17" s="177"/>
      <c r="S17" s="177"/>
      <c r="T17" s="177"/>
      <c r="U17" s="177"/>
      <c r="V17" s="177"/>
      <c r="W17" s="178"/>
      <c r="X17" s="137"/>
      <c r="Y17" s="176"/>
      <c r="Z17" s="177"/>
      <c r="AA17" s="177"/>
      <c r="AB17" s="177"/>
      <c r="AC17" s="177"/>
      <c r="AD17" s="177"/>
      <c r="AE17" s="178"/>
      <c r="AF17" s="137"/>
      <c r="AG17" s="176"/>
      <c r="AH17" s="177"/>
      <c r="AI17" s="177"/>
      <c r="AJ17" s="177"/>
      <c r="AK17" s="177"/>
      <c r="AL17" s="177"/>
      <c r="AM17" s="178"/>
      <c r="AO17" s="112">
        <v>31.5</v>
      </c>
      <c r="AP17" s="134">
        <f>'Tab F4 - TOB Center Freq Calc'!O17</f>
        <v>-45.487109854102968</v>
      </c>
      <c r="AQ17" s="135" t="str">
        <f>IF(AP17&gt;0,AP17+(10*LOG('Tab F5 - TOB Factor Table'!B8))," ")</f>
        <v xml:space="preserve"> </v>
      </c>
      <c r="AR17" s="144" t="str">
        <f t="shared" si="8"/>
        <v xml:space="preserve"> </v>
      </c>
      <c r="AS17" s="147">
        <v>0</v>
      </c>
      <c r="AT17" s="138" t="str">
        <f t="shared" si="6"/>
        <v xml:space="preserve"> </v>
      </c>
      <c r="AU17" s="144" t="str">
        <f t="shared" si="7"/>
        <v xml:space="preserve"> </v>
      </c>
    </row>
    <row r="18" spans="1:49" ht="14.45" customHeight="1" x14ac:dyDescent="0.25">
      <c r="A18" s="52">
        <v>40</v>
      </c>
      <c r="B18" s="134">
        <f>'Tab F4 - TOB Center Freq Calc'!O18</f>
        <v>-47.020549268145984</v>
      </c>
      <c r="C18" s="135" t="str">
        <f>IF(B18&gt;0,B18+(10*LOG('Tab F5 - TOB Factor Table'!B9))," ")</f>
        <v xml:space="preserve"> </v>
      </c>
      <c r="D18" s="144" t="str">
        <f t="shared" ref="D18:D45" si="9">IF(B18&gt;0,10^(C18/10)," ")</f>
        <v xml:space="preserve"> </v>
      </c>
      <c r="E18" s="149" t="str">
        <f>IF(B18&gt;0,'Tab F3 - Wtg Values Table'!B9," ")</f>
        <v xml:space="preserve"> </v>
      </c>
      <c r="F18" s="138" t="str">
        <f t="shared" ref="F18:F45" si="10">IF(B18&gt;0,C18+E18," ")</f>
        <v xml:space="preserve"> </v>
      </c>
      <c r="G18" s="144" t="str">
        <f t="shared" ref="G18:G45" si="11">IF(B18&gt;0,10^(F18/10)," ")</f>
        <v xml:space="preserve"> </v>
      </c>
      <c r="H18" s="137"/>
      <c r="I18" s="176"/>
      <c r="J18" s="177"/>
      <c r="K18" s="177"/>
      <c r="L18" s="177"/>
      <c r="M18" s="177"/>
      <c r="N18" s="177"/>
      <c r="O18" s="178"/>
      <c r="P18" s="137"/>
      <c r="Q18" s="176"/>
      <c r="R18" s="177"/>
      <c r="S18" s="177"/>
      <c r="T18" s="177"/>
      <c r="U18" s="177"/>
      <c r="V18" s="177"/>
      <c r="W18" s="178"/>
      <c r="X18" s="137"/>
      <c r="Y18" s="179"/>
      <c r="Z18" s="180"/>
      <c r="AA18" s="180"/>
      <c r="AB18" s="180"/>
      <c r="AC18" s="180"/>
      <c r="AD18" s="180"/>
      <c r="AE18" s="181"/>
      <c r="AF18" s="137"/>
      <c r="AG18" s="176"/>
      <c r="AH18" s="177"/>
      <c r="AI18" s="177"/>
      <c r="AJ18" s="177"/>
      <c r="AK18" s="177"/>
      <c r="AL18" s="177"/>
      <c r="AM18" s="178"/>
      <c r="AO18" s="52">
        <v>40</v>
      </c>
      <c r="AP18" s="134">
        <f>'Tab F4 - TOB Center Freq Calc'!O18</f>
        <v>-47.020549268145984</v>
      </c>
      <c r="AQ18" s="135" t="str">
        <f>IF(AP18&gt;0,AP18+(10*LOG('Tab F5 - TOB Factor Table'!B9))," ")</f>
        <v xml:space="preserve"> </v>
      </c>
      <c r="AR18" s="144" t="str">
        <f t="shared" si="8"/>
        <v xml:space="preserve"> </v>
      </c>
      <c r="AS18" s="147">
        <v>0</v>
      </c>
      <c r="AT18" s="138" t="str">
        <f t="shared" si="6"/>
        <v xml:space="preserve"> </v>
      </c>
      <c r="AU18" s="144" t="str">
        <f t="shared" si="7"/>
        <v xml:space="preserve"> </v>
      </c>
    </row>
    <row r="19" spans="1:49" ht="14.45" customHeight="1" x14ac:dyDescent="0.25">
      <c r="A19" s="52">
        <v>50</v>
      </c>
      <c r="B19" s="134">
        <f>'Tab F4 - TOB Center Freq Calc'!O19</f>
        <v>-47.68885936627143</v>
      </c>
      <c r="C19" s="135" t="str">
        <f>IF(B19&gt;0,B19+(10*LOG('Tab F5 - TOB Factor Table'!B10))," ")</f>
        <v xml:space="preserve"> </v>
      </c>
      <c r="D19" s="144" t="str">
        <f t="shared" si="9"/>
        <v xml:space="preserve"> </v>
      </c>
      <c r="E19" s="149" t="str">
        <f>IF(B19&gt;0,'Tab F3 - Wtg Values Table'!B10," ")</f>
        <v xml:space="preserve"> </v>
      </c>
      <c r="F19" s="138" t="str">
        <f t="shared" si="10"/>
        <v xml:space="preserve"> </v>
      </c>
      <c r="G19" s="144" t="str">
        <f t="shared" si="11"/>
        <v xml:space="preserve"> </v>
      </c>
      <c r="H19" s="137"/>
      <c r="I19" s="176"/>
      <c r="J19" s="177"/>
      <c r="K19" s="177"/>
      <c r="L19" s="177"/>
      <c r="M19" s="177"/>
      <c r="N19" s="177"/>
      <c r="O19" s="178"/>
      <c r="P19" s="137"/>
      <c r="Q19" s="176"/>
      <c r="R19" s="177"/>
      <c r="S19" s="177"/>
      <c r="T19" s="177"/>
      <c r="U19" s="177"/>
      <c r="V19" s="177"/>
      <c r="W19" s="178"/>
      <c r="X19" s="137"/>
      <c r="Y19" s="139">
        <v>50</v>
      </c>
      <c r="Z19" s="134">
        <f>'Tab F4 - TOB Center Freq Calc'!O19</f>
        <v>-47.68885936627143</v>
      </c>
      <c r="AA19" s="138" t="str">
        <f>IF(Z19&gt;0,Z19+(10*LOG('Tab F5 - TOB Factor Table'!B10))," ")</f>
        <v xml:space="preserve"> </v>
      </c>
      <c r="AB19" s="143" t="str">
        <f t="shared" ref="AB19:AB45" si="12">IF(Z19&gt;0,10^(AA19/10)," ")</f>
        <v xml:space="preserve"> </v>
      </c>
      <c r="AC19" s="147" t="str">
        <f>IF(Z19&gt;0,'Tab F3 - Wtg Values Table'!E10," ")</f>
        <v xml:space="preserve"> </v>
      </c>
      <c r="AD19" s="135" t="str">
        <f t="shared" ref="AD19:AD45" si="13">IF(Z19&gt;0,AA19+AC19," ")</f>
        <v xml:space="preserve"> </v>
      </c>
      <c r="AE19" s="143" t="str">
        <f t="shared" ref="AE19:AE45" si="14">IF(Z19&gt;0,10^(AD19/10)," ")</f>
        <v xml:space="preserve"> </v>
      </c>
      <c r="AF19" s="137"/>
      <c r="AG19" s="179"/>
      <c r="AH19" s="180"/>
      <c r="AI19" s="180"/>
      <c r="AJ19" s="180"/>
      <c r="AK19" s="180"/>
      <c r="AL19" s="180"/>
      <c r="AM19" s="181"/>
      <c r="AO19" s="52">
        <v>50</v>
      </c>
      <c r="AP19" s="134">
        <f>'Tab F4 - TOB Center Freq Calc'!O19</f>
        <v>-47.68885936627143</v>
      </c>
      <c r="AQ19" s="135" t="str">
        <f>IF(AP19&gt;0,AP19+(10*LOG('Tab F5 - TOB Factor Table'!B10))," ")</f>
        <v xml:space="preserve"> </v>
      </c>
      <c r="AR19" s="144" t="str">
        <f t="shared" si="8"/>
        <v xml:space="preserve"> </v>
      </c>
      <c r="AS19" s="147">
        <v>0</v>
      </c>
      <c r="AT19" s="138" t="str">
        <f t="shared" si="6"/>
        <v xml:space="preserve"> </v>
      </c>
      <c r="AU19" s="144" t="str">
        <f t="shared" si="7"/>
        <v xml:space="preserve"> </v>
      </c>
      <c r="AW19" s="110"/>
    </row>
    <row r="20" spans="1:49" ht="14.45" customHeight="1" x14ac:dyDescent="0.25">
      <c r="A20" s="52">
        <v>63</v>
      </c>
      <c r="B20" s="134">
        <f>'Tab F4 - TOB Center Freq Calc'!O20</f>
        <v>-46.183460490381165</v>
      </c>
      <c r="C20" s="135" t="str">
        <f>IF(B20&gt;0,B20+(10*LOG('Tab F5 - TOB Factor Table'!B11))," ")</f>
        <v xml:space="preserve"> </v>
      </c>
      <c r="D20" s="144" t="str">
        <f t="shared" si="9"/>
        <v xml:space="preserve"> </v>
      </c>
      <c r="E20" s="149" t="str">
        <f>IF(B20&gt;0,'Tab F3 - Wtg Values Table'!B11," ")</f>
        <v xml:space="preserve"> </v>
      </c>
      <c r="F20" s="138" t="str">
        <f t="shared" si="10"/>
        <v xml:space="preserve"> </v>
      </c>
      <c r="G20" s="144" t="str">
        <f t="shared" si="11"/>
        <v xml:space="preserve"> </v>
      </c>
      <c r="H20" s="137"/>
      <c r="I20" s="176"/>
      <c r="J20" s="177"/>
      <c r="K20" s="177"/>
      <c r="L20" s="177"/>
      <c r="M20" s="177"/>
      <c r="N20" s="177"/>
      <c r="O20" s="178"/>
      <c r="P20" s="137"/>
      <c r="Q20" s="176"/>
      <c r="R20" s="177"/>
      <c r="S20" s="177"/>
      <c r="T20" s="177"/>
      <c r="U20" s="177"/>
      <c r="V20" s="177"/>
      <c r="W20" s="178"/>
      <c r="X20" s="137"/>
      <c r="Y20" s="139">
        <v>63</v>
      </c>
      <c r="Z20" s="134">
        <f>'Tab F4 - TOB Center Freq Calc'!O20</f>
        <v>-46.183460490381165</v>
      </c>
      <c r="AA20" s="138" t="str">
        <f>IF(Z20&gt;0,Z20+(10*LOG('Tab F5 - TOB Factor Table'!B11))," ")</f>
        <v xml:space="preserve"> </v>
      </c>
      <c r="AB20" s="143" t="str">
        <f t="shared" si="12"/>
        <v xml:space="preserve"> </v>
      </c>
      <c r="AC20" s="147" t="str">
        <f>IF(Z20&gt;0,'Tab F3 - Wtg Values Table'!E11," ")</f>
        <v xml:space="preserve"> </v>
      </c>
      <c r="AD20" s="135" t="str">
        <f t="shared" si="13"/>
        <v xml:space="preserve"> </v>
      </c>
      <c r="AE20" s="143" t="str">
        <f t="shared" si="14"/>
        <v xml:space="preserve"> </v>
      </c>
      <c r="AF20" s="137"/>
      <c r="AG20" s="139">
        <v>63</v>
      </c>
      <c r="AH20" s="134">
        <f>'Tab F4 - TOB Center Freq Calc'!O20</f>
        <v>-46.183460490381165</v>
      </c>
      <c r="AI20" s="138" t="str">
        <f>IF(AH20&gt;0,AH20+(10*LOG('Tab F5 - TOB Factor Table'!B11))," ")</f>
        <v xml:space="preserve"> </v>
      </c>
      <c r="AJ20" s="143" t="str">
        <f>IF(AH20&gt;0,10^(AI20/10)," ")</f>
        <v xml:space="preserve"> </v>
      </c>
      <c r="AK20" s="147" t="str">
        <f>IF(AH20&gt;0,'Tab F3 - Wtg Values Table'!F11," ")</f>
        <v xml:space="preserve"> </v>
      </c>
      <c r="AL20" s="135" t="str">
        <f t="shared" ref="AL20:AL45" si="15">IF(AH20&gt;0,AI20+AK20," ")</f>
        <v xml:space="preserve"> </v>
      </c>
      <c r="AM20" s="143" t="str">
        <f t="shared" ref="AM20:AM45" si="16">IF(AH20&gt;0,10^(AL20/10)," ")</f>
        <v xml:space="preserve"> </v>
      </c>
      <c r="AO20" s="52">
        <v>63</v>
      </c>
      <c r="AP20" s="134">
        <f>'Tab F4 - TOB Center Freq Calc'!O20</f>
        <v>-46.183460490381165</v>
      </c>
      <c r="AQ20" s="135" t="str">
        <f>IF(AP20&gt;0,AP20+(10*LOG('Tab F5 - TOB Factor Table'!B11))," ")</f>
        <v xml:space="preserve"> </v>
      </c>
      <c r="AR20" s="144" t="str">
        <f>IF(AP20&gt;0,10^(AQ20/10)," ")</f>
        <v xml:space="preserve"> </v>
      </c>
      <c r="AS20" s="147">
        <v>0</v>
      </c>
      <c r="AT20" s="138" t="str">
        <f t="shared" si="6"/>
        <v xml:space="preserve"> </v>
      </c>
      <c r="AU20" s="144" t="str">
        <f t="shared" si="7"/>
        <v xml:space="preserve"> </v>
      </c>
    </row>
    <row r="21" spans="1:49" ht="14.45" customHeight="1" x14ac:dyDescent="0.25">
      <c r="A21" s="52">
        <v>80</v>
      </c>
      <c r="B21" s="134">
        <f>'Tab F4 - TOB Center Freq Calc'!O21</f>
        <v>-46.937957489264654</v>
      </c>
      <c r="C21" s="135" t="str">
        <f>IF(B21&gt;0,B21+(10*LOG('Tab F5 - TOB Factor Table'!B12))," ")</f>
        <v xml:space="preserve"> </v>
      </c>
      <c r="D21" s="144" t="str">
        <f t="shared" si="9"/>
        <v xml:space="preserve"> </v>
      </c>
      <c r="E21" s="149" t="str">
        <f>IF(B21&gt;0,'Tab F3 - Wtg Values Table'!B12," ")</f>
        <v xml:space="preserve"> </v>
      </c>
      <c r="F21" s="138" t="str">
        <f t="shared" si="10"/>
        <v xml:space="preserve"> </v>
      </c>
      <c r="G21" s="144" t="str">
        <f t="shared" si="11"/>
        <v xml:space="preserve"> </v>
      </c>
      <c r="H21" s="137"/>
      <c r="I21" s="176"/>
      <c r="J21" s="177"/>
      <c r="K21" s="177"/>
      <c r="L21" s="177"/>
      <c r="M21" s="177"/>
      <c r="N21" s="177"/>
      <c r="O21" s="178"/>
      <c r="P21" s="137"/>
      <c r="Q21" s="176"/>
      <c r="R21" s="177"/>
      <c r="S21" s="177"/>
      <c r="T21" s="177"/>
      <c r="U21" s="177"/>
      <c r="V21" s="177"/>
      <c r="W21" s="178"/>
      <c r="X21" s="137"/>
      <c r="Y21" s="139">
        <v>80</v>
      </c>
      <c r="Z21" s="134">
        <f>'Tab F4 - TOB Center Freq Calc'!O21</f>
        <v>-46.937957489264654</v>
      </c>
      <c r="AA21" s="138" t="str">
        <f>IF(Z21&gt;0,Z21+(10*LOG('Tab F5 - TOB Factor Table'!B12))," ")</f>
        <v xml:space="preserve"> </v>
      </c>
      <c r="AB21" s="143" t="str">
        <f t="shared" si="12"/>
        <v xml:space="preserve"> </v>
      </c>
      <c r="AC21" s="147" t="str">
        <f>IF(Z21&gt;0,'Tab F3 - Wtg Values Table'!E12," ")</f>
        <v xml:space="preserve"> </v>
      </c>
      <c r="AD21" s="135" t="str">
        <f t="shared" si="13"/>
        <v xml:space="preserve"> </v>
      </c>
      <c r="AE21" s="143" t="str">
        <f t="shared" si="14"/>
        <v xml:space="preserve"> </v>
      </c>
      <c r="AF21" s="137"/>
      <c r="AG21" s="139">
        <v>80</v>
      </c>
      <c r="AH21" s="134">
        <f>'Tab F4 - TOB Center Freq Calc'!O21</f>
        <v>-46.937957489264654</v>
      </c>
      <c r="AI21" s="138" t="str">
        <f>IF(AH21&gt;0,AH21+(10*LOG('Tab F5 - TOB Factor Table'!B12))," ")</f>
        <v xml:space="preserve"> </v>
      </c>
      <c r="AJ21" s="143" t="str">
        <f>IF(AH21&gt;0,10^(AI21/10)," ")</f>
        <v xml:space="preserve"> </v>
      </c>
      <c r="AK21" s="147" t="str">
        <f>IF(AH21&gt;0,'Tab F3 - Wtg Values Table'!F12," ")</f>
        <v xml:space="preserve"> </v>
      </c>
      <c r="AL21" s="135" t="str">
        <f t="shared" si="15"/>
        <v xml:space="preserve"> </v>
      </c>
      <c r="AM21" s="143" t="str">
        <f t="shared" si="16"/>
        <v xml:space="preserve"> </v>
      </c>
      <c r="AO21" s="52">
        <v>80</v>
      </c>
      <c r="AP21" s="134">
        <f>'Tab F4 - TOB Center Freq Calc'!O21</f>
        <v>-46.937957489264654</v>
      </c>
      <c r="AQ21" s="135" t="str">
        <f>IF(AP21&gt;0,AP21+(10*LOG('Tab F5 - TOB Factor Table'!B12))," ")</f>
        <v xml:space="preserve"> </v>
      </c>
      <c r="AR21" s="144" t="str">
        <f t="shared" si="8"/>
        <v xml:space="preserve"> </v>
      </c>
      <c r="AS21" s="147">
        <v>0</v>
      </c>
      <c r="AT21" s="138" t="str">
        <f t="shared" si="6"/>
        <v xml:space="preserve"> </v>
      </c>
      <c r="AU21" s="144" t="str">
        <f t="shared" si="7"/>
        <v xml:space="preserve"> </v>
      </c>
    </row>
    <row r="22" spans="1:49" ht="15" customHeight="1" x14ac:dyDescent="0.25">
      <c r="A22" s="52">
        <v>100</v>
      </c>
      <c r="B22" s="134">
        <f>'Tab F4 - TOB Center Freq Calc'!O22</f>
        <v>-51.449912000753891</v>
      </c>
      <c r="C22" s="135" t="str">
        <f>IF(B22&gt;0,B22+(10*LOG('Tab F5 - TOB Factor Table'!B13))," ")</f>
        <v xml:space="preserve"> </v>
      </c>
      <c r="D22" s="144" t="str">
        <f t="shared" si="9"/>
        <v xml:space="preserve"> </v>
      </c>
      <c r="E22" s="149" t="str">
        <f>IF(B22&gt;0,'Tab F3 - Wtg Values Table'!B13," ")</f>
        <v xml:space="preserve"> </v>
      </c>
      <c r="F22" s="138" t="str">
        <f t="shared" si="10"/>
        <v xml:space="preserve"> </v>
      </c>
      <c r="G22" s="144" t="str">
        <f t="shared" si="11"/>
        <v xml:space="preserve"> </v>
      </c>
      <c r="H22" s="137"/>
      <c r="I22" s="176"/>
      <c r="J22" s="177"/>
      <c r="K22" s="177"/>
      <c r="L22" s="177"/>
      <c r="M22" s="177"/>
      <c r="N22" s="177"/>
      <c r="O22" s="178"/>
      <c r="P22" s="137"/>
      <c r="Q22" s="176"/>
      <c r="R22" s="177"/>
      <c r="S22" s="177"/>
      <c r="T22" s="177"/>
      <c r="U22" s="177"/>
      <c r="V22" s="177"/>
      <c r="W22" s="178"/>
      <c r="X22" s="137"/>
      <c r="Y22" s="139">
        <v>100</v>
      </c>
      <c r="Z22" s="134">
        <f>'Tab F4 - TOB Center Freq Calc'!O22</f>
        <v>-51.449912000753891</v>
      </c>
      <c r="AA22" s="138" t="str">
        <f>IF(Z22&gt;0,Z22+(10*LOG('Tab F5 - TOB Factor Table'!B13))," ")</f>
        <v xml:space="preserve"> </v>
      </c>
      <c r="AB22" s="143" t="str">
        <f t="shared" si="12"/>
        <v xml:space="preserve"> </v>
      </c>
      <c r="AC22" s="147" t="str">
        <f>IF(Z22&gt;0,'Tab F3 - Wtg Values Table'!E13," ")</f>
        <v xml:space="preserve"> </v>
      </c>
      <c r="AD22" s="135" t="str">
        <f t="shared" si="13"/>
        <v xml:space="preserve"> </v>
      </c>
      <c r="AE22" s="143" t="str">
        <f t="shared" si="14"/>
        <v xml:space="preserve"> </v>
      </c>
      <c r="AF22" s="137"/>
      <c r="AG22" s="139">
        <v>100</v>
      </c>
      <c r="AH22" s="134">
        <f>'Tab F4 - TOB Center Freq Calc'!O22</f>
        <v>-51.449912000753891</v>
      </c>
      <c r="AI22" s="138" t="str">
        <f>IF(AH22&gt;0,AH22+(10*LOG('Tab F5 - TOB Factor Table'!B13))," ")</f>
        <v xml:space="preserve"> </v>
      </c>
      <c r="AJ22" s="143" t="str">
        <f t="shared" ref="AJ22:AJ45" si="17">IF(AH22&gt;0,10^(AI22/10)," ")</f>
        <v xml:space="preserve"> </v>
      </c>
      <c r="AK22" s="147" t="str">
        <f>IF(AH22&gt;0,'Tab F3 - Wtg Values Table'!F13," ")</f>
        <v xml:space="preserve"> </v>
      </c>
      <c r="AL22" s="135" t="str">
        <f t="shared" si="15"/>
        <v xml:space="preserve"> </v>
      </c>
      <c r="AM22" s="143" t="str">
        <f t="shared" si="16"/>
        <v xml:space="preserve"> </v>
      </c>
      <c r="AO22" s="52">
        <v>100</v>
      </c>
      <c r="AP22" s="134">
        <f>'Tab F4 - TOB Center Freq Calc'!O22</f>
        <v>-51.449912000753891</v>
      </c>
      <c r="AQ22" s="135" t="str">
        <f>IF(AP22&gt;0,AP22+(10*LOG('Tab F5 - TOB Factor Table'!B13))," ")</f>
        <v xml:space="preserve"> </v>
      </c>
      <c r="AR22" s="144" t="str">
        <f t="shared" si="8"/>
        <v xml:space="preserve"> </v>
      </c>
      <c r="AS22" s="147">
        <v>0</v>
      </c>
      <c r="AT22" s="138" t="str">
        <f t="shared" si="6"/>
        <v xml:space="preserve"> </v>
      </c>
      <c r="AU22" s="144" t="str">
        <f t="shared" si="7"/>
        <v xml:space="preserve"> </v>
      </c>
      <c r="AW22" s="163"/>
    </row>
    <row r="23" spans="1:49" ht="14.45" customHeight="1" x14ac:dyDescent="0.25">
      <c r="A23" s="52">
        <v>125</v>
      </c>
      <c r="B23" s="134">
        <f>'Tab F4 - TOB Center Freq Calc'!O23</f>
        <v>-54.959692995788025</v>
      </c>
      <c r="C23" s="135" t="str">
        <f>IF(B23&gt;0,B23+(10*LOG('Tab F5 - TOB Factor Table'!B14))," ")</f>
        <v xml:space="preserve"> </v>
      </c>
      <c r="D23" s="144" t="str">
        <f t="shared" si="9"/>
        <v xml:space="preserve"> </v>
      </c>
      <c r="E23" s="149" t="str">
        <f>IF(B23&gt;0,'Tab F3 - Wtg Values Table'!B14," ")</f>
        <v xml:space="preserve"> </v>
      </c>
      <c r="F23" s="138" t="str">
        <f t="shared" si="10"/>
        <v xml:space="preserve"> </v>
      </c>
      <c r="G23" s="144" t="str">
        <f t="shared" si="11"/>
        <v xml:space="preserve"> </v>
      </c>
      <c r="H23" s="137"/>
      <c r="I23" s="179"/>
      <c r="J23" s="180"/>
      <c r="K23" s="180"/>
      <c r="L23" s="180"/>
      <c r="M23" s="180"/>
      <c r="N23" s="180"/>
      <c r="O23" s="181"/>
      <c r="P23" s="137"/>
      <c r="Q23" s="176"/>
      <c r="R23" s="177"/>
      <c r="S23" s="177"/>
      <c r="T23" s="177"/>
      <c r="U23" s="177"/>
      <c r="V23" s="177"/>
      <c r="W23" s="178"/>
      <c r="X23" s="137"/>
      <c r="Y23" s="139">
        <v>125</v>
      </c>
      <c r="Z23" s="134">
        <f>'Tab F4 - TOB Center Freq Calc'!O23</f>
        <v>-54.959692995788025</v>
      </c>
      <c r="AA23" s="138" t="str">
        <f>IF(Z23&gt;0,Z23+(10*LOG('Tab F5 - TOB Factor Table'!B14))," ")</f>
        <v xml:space="preserve"> </v>
      </c>
      <c r="AB23" s="143" t="str">
        <f t="shared" si="12"/>
        <v xml:space="preserve"> </v>
      </c>
      <c r="AC23" s="147" t="str">
        <f>IF(Z23&gt;0,'Tab F3 - Wtg Values Table'!E14," ")</f>
        <v xml:space="preserve"> </v>
      </c>
      <c r="AD23" s="135" t="str">
        <f t="shared" si="13"/>
        <v xml:space="preserve"> </v>
      </c>
      <c r="AE23" s="143" t="str">
        <f t="shared" si="14"/>
        <v xml:space="preserve"> </v>
      </c>
      <c r="AF23" s="137"/>
      <c r="AG23" s="139">
        <v>125</v>
      </c>
      <c r="AH23" s="134">
        <f>'Tab F4 - TOB Center Freq Calc'!O23</f>
        <v>-54.959692995788025</v>
      </c>
      <c r="AI23" s="138" t="str">
        <f>IF(AH23&gt;0,AH23+(10*LOG('Tab F5 - TOB Factor Table'!B14))," ")</f>
        <v xml:space="preserve"> </v>
      </c>
      <c r="AJ23" s="143" t="str">
        <f t="shared" si="17"/>
        <v xml:space="preserve"> </v>
      </c>
      <c r="AK23" s="147" t="str">
        <f>IF(AH23&gt;0,'Tab F3 - Wtg Values Table'!F14," ")</f>
        <v xml:space="preserve"> </v>
      </c>
      <c r="AL23" s="135" t="str">
        <f t="shared" si="15"/>
        <v xml:space="preserve"> </v>
      </c>
      <c r="AM23" s="143" t="str">
        <f t="shared" si="16"/>
        <v xml:space="preserve"> </v>
      </c>
      <c r="AO23" s="52">
        <v>125</v>
      </c>
      <c r="AP23" s="134">
        <f>'Tab F4 - TOB Center Freq Calc'!O23</f>
        <v>-54.959692995788025</v>
      </c>
      <c r="AQ23" s="135" t="str">
        <f>IF(AP23&gt;0,AP23+(10*LOG('Tab F5 - TOB Factor Table'!B14))," ")</f>
        <v xml:space="preserve"> </v>
      </c>
      <c r="AR23" s="144" t="str">
        <f t="shared" si="8"/>
        <v xml:space="preserve"> </v>
      </c>
      <c r="AS23" s="147">
        <v>0</v>
      </c>
      <c r="AT23" s="138" t="str">
        <f t="shared" si="6"/>
        <v xml:space="preserve"> </v>
      </c>
      <c r="AU23" s="144" t="str">
        <f t="shared" si="7"/>
        <v xml:space="preserve"> </v>
      </c>
    </row>
    <row r="24" spans="1:49" ht="14.45" customHeight="1" x14ac:dyDescent="0.25">
      <c r="A24" s="52">
        <v>160</v>
      </c>
      <c r="B24" s="134">
        <f>'Tab F4 - TOB Center Freq Calc'!O24</f>
        <v>-55.065509605778146</v>
      </c>
      <c r="C24" s="135" t="str">
        <f>IF(B24&gt;0,B24+(10*LOG('Tab F5 - TOB Factor Table'!B15))," ")</f>
        <v xml:space="preserve"> </v>
      </c>
      <c r="D24" s="144" t="str">
        <f t="shared" si="9"/>
        <v xml:space="preserve"> </v>
      </c>
      <c r="E24" s="149" t="str">
        <f>IF(B24&gt;0,'Tab F3 - Wtg Values Table'!B15," ")</f>
        <v xml:space="preserve"> </v>
      </c>
      <c r="F24" s="138" t="str">
        <f t="shared" si="10"/>
        <v xml:space="preserve"> </v>
      </c>
      <c r="G24" s="144" t="str">
        <f t="shared" si="11"/>
        <v xml:space="preserve"> </v>
      </c>
      <c r="H24" s="137"/>
      <c r="I24" s="139">
        <v>160</v>
      </c>
      <c r="J24" s="134">
        <f>'Tab F4 - TOB Center Freq Calc'!O24</f>
        <v>-55.065509605778146</v>
      </c>
      <c r="K24" s="138" t="str">
        <f>IF(J24&gt;0,J24+(10*LOG('Tab F5 - TOB Factor Table'!B15))," ")</f>
        <v xml:space="preserve"> </v>
      </c>
      <c r="L24" s="143" t="str">
        <f t="shared" ref="L24:L45" si="18">IF(J24&gt;0,10^(K24/10)," ")</f>
        <v xml:space="preserve"> </v>
      </c>
      <c r="M24" s="147" t="str">
        <f>IF(J24&gt;0,'Tab F3 - Wtg Values Table'!C15," ")</f>
        <v xml:space="preserve"> </v>
      </c>
      <c r="N24" s="135" t="str">
        <f t="shared" ref="N24:N45" si="19">IF(J24&gt;0,K24+M24," ")</f>
        <v xml:space="preserve"> </v>
      </c>
      <c r="O24" s="143" t="str">
        <f t="shared" ref="O24:O45" si="20">IF(J24&gt;0,10^(N24/10)," ")</f>
        <v xml:space="preserve"> </v>
      </c>
      <c r="P24" s="137"/>
      <c r="Q24" s="176"/>
      <c r="R24" s="177"/>
      <c r="S24" s="177"/>
      <c r="T24" s="177"/>
      <c r="U24" s="177"/>
      <c r="V24" s="177"/>
      <c r="W24" s="178"/>
      <c r="X24" s="137"/>
      <c r="Y24" s="139">
        <v>160</v>
      </c>
      <c r="Z24" s="134">
        <f>'Tab F4 - TOB Center Freq Calc'!O24</f>
        <v>-55.065509605778146</v>
      </c>
      <c r="AA24" s="138" t="str">
        <f>IF(Z24&gt;0,Z24+(10*LOG('Tab F5 - TOB Factor Table'!B15))," ")</f>
        <v xml:space="preserve"> </v>
      </c>
      <c r="AB24" s="143" t="str">
        <f t="shared" si="12"/>
        <v xml:space="preserve"> </v>
      </c>
      <c r="AC24" s="147" t="str">
        <f>IF(Z24&gt;0,'Tab F3 - Wtg Values Table'!E15," ")</f>
        <v xml:space="preserve"> </v>
      </c>
      <c r="AD24" s="135" t="str">
        <f t="shared" si="13"/>
        <v xml:space="preserve"> </v>
      </c>
      <c r="AE24" s="143" t="str">
        <f t="shared" si="14"/>
        <v xml:space="preserve"> </v>
      </c>
      <c r="AF24" s="137"/>
      <c r="AG24" s="139">
        <v>160</v>
      </c>
      <c r="AH24" s="134">
        <f>'Tab F4 - TOB Center Freq Calc'!O24</f>
        <v>-55.065509605778146</v>
      </c>
      <c r="AI24" s="138" t="str">
        <f>IF(AH24&gt;0,AH24+(10*LOG('Tab F5 - TOB Factor Table'!B15))," ")</f>
        <v xml:space="preserve"> </v>
      </c>
      <c r="AJ24" s="143" t="str">
        <f t="shared" si="17"/>
        <v xml:space="preserve"> </v>
      </c>
      <c r="AK24" s="147" t="str">
        <f>IF(AH24&gt;0,'Tab F3 - Wtg Values Table'!F15," ")</f>
        <v xml:space="preserve"> </v>
      </c>
      <c r="AL24" s="135" t="str">
        <f t="shared" si="15"/>
        <v xml:space="preserve"> </v>
      </c>
      <c r="AM24" s="143" t="str">
        <f t="shared" si="16"/>
        <v xml:space="preserve"> </v>
      </c>
      <c r="AO24" s="52">
        <v>160</v>
      </c>
      <c r="AP24" s="134">
        <f>'Tab F4 - TOB Center Freq Calc'!O24</f>
        <v>-55.065509605778146</v>
      </c>
      <c r="AQ24" s="135" t="str">
        <f>IF(AP24&gt;0,AP24+(10*LOG('Tab F5 - TOB Factor Table'!B15))," ")</f>
        <v xml:space="preserve"> </v>
      </c>
      <c r="AR24" s="144" t="str">
        <f t="shared" si="8"/>
        <v xml:space="preserve"> </v>
      </c>
      <c r="AS24" s="147">
        <v>0</v>
      </c>
      <c r="AT24" s="138" t="str">
        <f t="shared" si="6"/>
        <v xml:space="preserve"> </v>
      </c>
      <c r="AU24" s="144" t="str">
        <f t="shared" si="7"/>
        <v xml:space="preserve"> </v>
      </c>
    </row>
    <row r="25" spans="1:49" ht="14.45" customHeight="1" x14ac:dyDescent="0.25">
      <c r="A25" s="52">
        <v>200</v>
      </c>
      <c r="B25" s="134">
        <f>'Tab F4 - TOB Center Freq Calc'!O25</f>
        <v>-61.728963969390044</v>
      </c>
      <c r="C25" s="135" t="str">
        <f>IF(B25&gt;0,B25+(10*LOG('Tab F5 - TOB Factor Table'!B16))," ")</f>
        <v xml:space="preserve"> </v>
      </c>
      <c r="D25" s="144" t="str">
        <f t="shared" si="9"/>
        <v xml:space="preserve"> </v>
      </c>
      <c r="E25" s="149" t="str">
        <f>IF(B25&gt;0,'Tab F3 - Wtg Values Table'!B16," ")</f>
        <v xml:space="preserve"> </v>
      </c>
      <c r="F25" s="138" t="str">
        <f t="shared" si="10"/>
        <v xml:space="preserve"> </v>
      </c>
      <c r="G25" s="144" t="str">
        <f t="shared" si="11"/>
        <v xml:space="preserve"> </v>
      </c>
      <c r="H25" s="137"/>
      <c r="I25" s="139">
        <v>200</v>
      </c>
      <c r="J25" s="134">
        <f>'Tab F4 - TOB Center Freq Calc'!O25</f>
        <v>-61.728963969390044</v>
      </c>
      <c r="K25" s="138" t="str">
        <f>IF(J25&gt;0,J25+(10*LOG('Tab F5 - TOB Factor Table'!B16))," ")</f>
        <v xml:space="preserve"> </v>
      </c>
      <c r="L25" s="143" t="str">
        <f t="shared" si="18"/>
        <v xml:space="preserve"> </v>
      </c>
      <c r="M25" s="147" t="str">
        <f>IF(J25&gt;0,'Tab F3 - Wtg Values Table'!C16," ")</f>
        <v xml:space="preserve"> </v>
      </c>
      <c r="N25" s="135" t="str">
        <f t="shared" si="19"/>
        <v xml:space="preserve"> </v>
      </c>
      <c r="O25" s="143" t="str">
        <f t="shared" si="20"/>
        <v xml:space="preserve"> </v>
      </c>
      <c r="P25" s="137"/>
      <c r="Q25" s="176"/>
      <c r="R25" s="177"/>
      <c r="S25" s="177"/>
      <c r="T25" s="177"/>
      <c r="U25" s="177"/>
      <c r="V25" s="177"/>
      <c r="W25" s="178"/>
      <c r="X25" s="137"/>
      <c r="Y25" s="139">
        <v>200</v>
      </c>
      <c r="Z25" s="134">
        <f>'Tab F4 - TOB Center Freq Calc'!O25</f>
        <v>-61.728963969390044</v>
      </c>
      <c r="AA25" s="138" t="str">
        <f>IF(Z25&gt;0,Z25+(10*LOG('Tab F5 - TOB Factor Table'!B16))," ")</f>
        <v xml:space="preserve"> </v>
      </c>
      <c r="AB25" s="143" t="str">
        <f t="shared" si="12"/>
        <v xml:space="preserve"> </v>
      </c>
      <c r="AC25" s="147" t="str">
        <f>IF(Z25&gt;0,'Tab F3 - Wtg Values Table'!E16," ")</f>
        <v xml:space="preserve"> </v>
      </c>
      <c r="AD25" s="135" t="str">
        <f t="shared" si="13"/>
        <v xml:space="preserve"> </v>
      </c>
      <c r="AE25" s="143" t="str">
        <f t="shared" si="14"/>
        <v xml:space="preserve"> </v>
      </c>
      <c r="AF25" s="137"/>
      <c r="AG25" s="139">
        <v>200</v>
      </c>
      <c r="AH25" s="134">
        <f>'Tab F4 - TOB Center Freq Calc'!O25</f>
        <v>-61.728963969390044</v>
      </c>
      <c r="AI25" s="138" t="str">
        <f>IF(AH25&gt;0,AH25+(10*LOG('Tab F5 - TOB Factor Table'!B16))," ")</f>
        <v xml:space="preserve"> </v>
      </c>
      <c r="AJ25" s="143" t="str">
        <f t="shared" si="17"/>
        <v xml:space="preserve"> </v>
      </c>
      <c r="AK25" s="147" t="str">
        <f>IF(AH25&gt;0,'Tab F3 - Wtg Values Table'!F16," ")</f>
        <v xml:space="preserve"> </v>
      </c>
      <c r="AL25" s="135" t="str">
        <f t="shared" si="15"/>
        <v xml:space="preserve"> </v>
      </c>
      <c r="AM25" s="143" t="str">
        <f t="shared" si="16"/>
        <v xml:space="preserve"> </v>
      </c>
      <c r="AO25" s="52">
        <v>200</v>
      </c>
      <c r="AP25" s="134">
        <f>'Tab F4 - TOB Center Freq Calc'!O25</f>
        <v>-61.728963969390044</v>
      </c>
      <c r="AQ25" s="135" t="str">
        <f>IF(AP25&gt;0,AP25+(10*LOG('Tab F5 - TOB Factor Table'!B16))," ")</f>
        <v xml:space="preserve"> </v>
      </c>
      <c r="AR25" s="144" t="str">
        <f t="shared" si="8"/>
        <v xml:space="preserve"> </v>
      </c>
      <c r="AS25" s="147">
        <v>0</v>
      </c>
      <c r="AT25" s="138" t="str">
        <f t="shared" si="6"/>
        <v xml:space="preserve"> </v>
      </c>
      <c r="AU25" s="144" t="str">
        <f t="shared" si="7"/>
        <v xml:space="preserve"> </v>
      </c>
    </row>
    <row r="26" spans="1:49" ht="14.45" customHeight="1" x14ac:dyDescent="0.25">
      <c r="A26" s="52">
        <v>250</v>
      </c>
      <c r="B26" s="134">
        <f>'Tab F4 - TOB Center Freq Calc'!O26</f>
        <v>-67.762304025686973</v>
      </c>
      <c r="C26" s="135" t="str">
        <f>IF(B26&gt;0,B26+(10*LOG('Tab F5 - TOB Factor Table'!B17))," ")</f>
        <v xml:space="preserve"> </v>
      </c>
      <c r="D26" s="144" t="str">
        <f t="shared" si="9"/>
        <v xml:space="preserve"> </v>
      </c>
      <c r="E26" s="149" t="str">
        <f>IF(B26&gt;0,'Tab F3 - Wtg Values Table'!B17," ")</f>
        <v xml:space="preserve"> </v>
      </c>
      <c r="F26" s="138" t="str">
        <f t="shared" si="10"/>
        <v xml:space="preserve"> </v>
      </c>
      <c r="G26" s="144" t="str">
        <f t="shared" si="11"/>
        <v xml:space="preserve"> </v>
      </c>
      <c r="H26" s="137"/>
      <c r="I26" s="139">
        <v>250</v>
      </c>
      <c r="J26" s="134">
        <f>'Tab F4 - TOB Center Freq Calc'!O26</f>
        <v>-67.762304025686973</v>
      </c>
      <c r="K26" s="138" t="str">
        <f>IF(J26&gt;0,J26+(10*LOG('Tab F5 - TOB Factor Table'!B17))," ")</f>
        <v xml:space="preserve"> </v>
      </c>
      <c r="L26" s="143" t="str">
        <f t="shared" si="18"/>
        <v xml:space="preserve"> </v>
      </c>
      <c r="M26" s="147" t="str">
        <f>IF(J26&gt;0,'Tab F3 - Wtg Values Table'!C17," ")</f>
        <v xml:space="preserve"> </v>
      </c>
      <c r="N26" s="135" t="str">
        <f t="shared" si="19"/>
        <v xml:space="preserve"> </v>
      </c>
      <c r="O26" s="143" t="str">
        <f t="shared" si="20"/>
        <v xml:space="preserve"> </v>
      </c>
      <c r="P26" s="137"/>
      <c r="Q26" s="179"/>
      <c r="R26" s="180"/>
      <c r="S26" s="180"/>
      <c r="T26" s="180"/>
      <c r="U26" s="180"/>
      <c r="V26" s="180"/>
      <c r="W26" s="181"/>
      <c r="X26" s="137"/>
      <c r="Y26" s="139">
        <v>250</v>
      </c>
      <c r="Z26" s="134">
        <f>'Tab F4 - TOB Center Freq Calc'!O26</f>
        <v>-67.762304025686973</v>
      </c>
      <c r="AA26" s="138" t="str">
        <f>IF(Z26&gt;0,Z26+(10*LOG('Tab F5 - TOB Factor Table'!B17))," ")</f>
        <v xml:space="preserve"> </v>
      </c>
      <c r="AB26" s="143" t="str">
        <f t="shared" si="12"/>
        <v xml:space="preserve"> </v>
      </c>
      <c r="AC26" s="147" t="str">
        <f>IF(Z26&gt;0,'Tab F3 - Wtg Values Table'!E17," ")</f>
        <v xml:space="preserve"> </v>
      </c>
      <c r="AD26" s="135" t="str">
        <f t="shared" si="13"/>
        <v xml:space="preserve"> </v>
      </c>
      <c r="AE26" s="143" t="str">
        <f t="shared" si="14"/>
        <v xml:space="preserve"> </v>
      </c>
      <c r="AF26" s="137"/>
      <c r="AG26" s="139">
        <v>250</v>
      </c>
      <c r="AH26" s="134">
        <f>'Tab F4 - TOB Center Freq Calc'!O26</f>
        <v>-67.762304025686973</v>
      </c>
      <c r="AI26" s="138" t="str">
        <f>IF(AH26&gt;0,AH26+(10*LOG('Tab F5 - TOB Factor Table'!B17))," ")</f>
        <v xml:space="preserve"> </v>
      </c>
      <c r="AJ26" s="143" t="str">
        <f t="shared" si="17"/>
        <v xml:space="preserve"> </v>
      </c>
      <c r="AK26" s="147" t="str">
        <f>IF(AH26&gt;0,'Tab F3 - Wtg Values Table'!F17," ")</f>
        <v xml:space="preserve"> </v>
      </c>
      <c r="AL26" s="135" t="str">
        <f t="shared" si="15"/>
        <v xml:space="preserve"> </v>
      </c>
      <c r="AM26" s="143" t="str">
        <f t="shared" si="16"/>
        <v xml:space="preserve"> </v>
      </c>
      <c r="AO26" s="52">
        <v>250</v>
      </c>
      <c r="AP26" s="134">
        <f>'Tab F4 - TOB Center Freq Calc'!O26</f>
        <v>-67.762304025686973</v>
      </c>
      <c r="AQ26" s="135" t="str">
        <f>IF(AP26&gt;0,AP26+(10*LOG('Tab F5 - TOB Factor Table'!B17))," ")</f>
        <v xml:space="preserve"> </v>
      </c>
      <c r="AR26" s="144" t="str">
        <f t="shared" si="8"/>
        <v xml:space="preserve"> </v>
      </c>
      <c r="AS26" s="147">
        <v>0</v>
      </c>
      <c r="AT26" s="138" t="str">
        <f t="shared" si="6"/>
        <v xml:space="preserve"> </v>
      </c>
      <c r="AU26" s="144" t="str">
        <f t="shared" si="7"/>
        <v xml:space="preserve"> </v>
      </c>
    </row>
    <row r="27" spans="1:49" ht="14.45" customHeight="1" x14ac:dyDescent="0.25">
      <c r="A27" s="52">
        <v>315</v>
      </c>
      <c r="B27" s="134">
        <f>'Tab F4 - TOB Center Freq Calc'!O27</f>
        <v>-71.142751596342265</v>
      </c>
      <c r="C27" s="135" t="str">
        <f>IF(B27&gt;0,B27+(10*LOG('Tab F5 - TOB Factor Table'!B18))," ")</f>
        <v xml:space="preserve"> </v>
      </c>
      <c r="D27" s="144" t="str">
        <f t="shared" si="9"/>
        <v xml:space="preserve"> </v>
      </c>
      <c r="E27" s="149" t="str">
        <f>IF(B27&gt;0,'Tab F3 - Wtg Values Table'!B18," ")</f>
        <v xml:space="preserve"> </v>
      </c>
      <c r="F27" s="138" t="str">
        <f t="shared" si="10"/>
        <v xml:space="preserve"> </v>
      </c>
      <c r="G27" s="144" t="str">
        <f t="shared" si="11"/>
        <v xml:space="preserve"> </v>
      </c>
      <c r="H27" s="137"/>
      <c r="I27" s="139">
        <v>315</v>
      </c>
      <c r="J27" s="134">
        <f>'Tab F4 - TOB Center Freq Calc'!O27</f>
        <v>-71.142751596342265</v>
      </c>
      <c r="K27" s="138" t="str">
        <f>IF(J27&gt;0,J27+(10*LOG('Tab F5 - TOB Factor Table'!B18))," ")</f>
        <v xml:space="preserve"> </v>
      </c>
      <c r="L27" s="143" t="str">
        <f t="shared" si="18"/>
        <v xml:space="preserve"> </v>
      </c>
      <c r="M27" s="147" t="str">
        <f>IF(J27&gt;0,'Tab F3 - Wtg Values Table'!C18," ")</f>
        <v xml:space="preserve"> </v>
      </c>
      <c r="N27" s="135" t="str">
        <f t="shared" si="19"/>
        <v xml:space="preserve"> </v>
      </c>
      <c r="O27" s="143" t="str">
        <f t="shared" si="20"/>
        <v xml:space="preserve"> </v>
      </c>
      <c r="P27" s="137"/>
      <c r="Q27" s="139">
        <v>315</v>
      </c>
      <c r="R27" s="134">
        <f>'Tab F4 - TOB Center Freq Calc'!O27</f>
        <v>-71.142751596342265</v>
      </c>
      <c r="S27" s="138" t="str">
        <f>IF(R27&gt;0,R27+(10*LOG('Tab F5 - TOB Factor Table'!B18))," ")</f>
        <v xml:space="preserve"> </v>
      </c>
      <c r="T27" s="143" t="str">
        <f t="shared" ref="T27:T45" si="21">IF(R27&gt;0,10^(S27/10)," ")</f>
        <v xml:space="preserve"> </v>
      </c>
      <c r="U27" s="147" t="str">
        <f>IF(R27&gt;0,'Tab F3 - Wtg Values Table'!D18," ")</f>
        <v xml:space="preserve"> </v>
      </c>
      <c r="V27" s="135" t="str">
        <f t="shared" ref="V27:V45" si="22">IF(R27&gt;0,S27+U27," ")</f>
        <v xml:space="preserve"> </v>
      </c>
      <c r="W27" s="143" t="str">
        <f t="shared" ref="W27:W45" si="23">IF(R27&gt;0,10^(V27/10)," ")</f>
        <v xml:space="preserve"> </v>
      </c>
      <c r="X27" s="137"/>
      <c r="Y27" s="139">
        <v>315</v>
      </c>
      <c r="Z27" s="134">
        <f>'Tab F4 - TOB Center Freq Calc'!O27</f>
        <v>-71.142751596342265</v>
      </c>
      <c r="AA27" s="138" t="str">
        <f>IF(Z27&gt;0,Z27+(10*LOG('Tab F5 - TOB Factor Table'!B18))," ")</f>
        <v xml:space="preserve"> </v>
      </c>
      <c r="AB27" s="143" t="str">
        <f t="shared" si="12"/>
        <v xml:space="preserve"> </v>
      </c>
      <c r="AC27" s="147" t="str">
        <f>IF(Z27&gt;0,'Tab F3 - Wtg Values Table'!E18," ")</f>
        <v xml:space="preserve"> </v>
      </c>
      <c r="AD27" s="135" t="str">
        <f t="shared" si="13"/>
        <v xml:space="preserve"> </v>
      </c>
      <c r="AE27" s="143" t="str">
        <f t="shared" si="14"/>
        <v xml:space="preserve"> </v>
      </c>
      <c r="AF27" s="137"/>
      <c r="AG27" s="139">
        <v>315</v>
      </c>
      <c r="AH27" s="134">
        <f>'Tab F4 - TOB Center Freq Calc'!O27</f>
        <v>-71.142751596342265</v>
      </c>
      <c r="AI27" s="138" t="str">
        <f>IF(AH27&gt;0,AH27+(10*LOG('Tab F5 - TOB Factor Table'!B18))," ")</f>
        <v xml:space="preserve"> </v>
      </c>
      <c r="AJ27" s="143" t="str">
        <f t="shared" si="17"/>
        <v xml:space="preserve"> </v>
      </c>
      <c r="AK27" s="147" t="str">
        <f>IF(AH27&gt;0,'Tab F3 - Wtg Values Table'!F18," ")</f>
        <v xml:space="preserve"> </v>
      </c>
      <c r="AL27" s="135" t="str">
        <f t="shared" si="15"/>
        <v xml:space="preserve"> </v>
      </c>
      <c r="AM27" s="143" t="str">
        <f t="shared" si="16"/>
        <v xml:space="preserve"> </v>
      </c>
      <c r="AO27" s="52">
        <v>315</v>
      </c>
      <c r="AP27" s="134">
        <f>'Tab F4 - TOB Center Freq Calc'!O27</f>
        <v>-71.142751596342265</v>
      </c>
      <c r="AQ27" s="135" t="str">
        <f>IF(AP27&gt;0,AP27+(10*LOG('Tab F5 - TOB Factor Table'!B18))," ")</f>
        <v xml:space="preserve"> </v>
      </c>
      <c r="AR27" s="144" t="str">
        <f t="shared" si="8"/>
        <v xml:space="preserve"> </v>
      </c>
      <c r="AS27" s="147">
        <v>0</v>
      </c>
      <c r="AT27" s="138" t="str">
        <f t="shared" si="6"/>
        <v xml:space="preserve"> </v>
      </c>
      <c r="AU27" s="144" t="str">
        <f t="shared" si="7"/>
        <v xml:space="preserve"> </v>
      </c>
      <c r="AW27" s="164"/>
    </row>
    <row r="28" spans="1:49" ht="14.45" customHeight="1" x14ac:dyDescent="0.25">
      <c r="A28" s="52">
        <v>400</v>
      </c>
      <c r="B28" s="134">
        <f>'Tab F4 - TOB Center Freq Calc'!O28</f>
        <v>-77.735020477728483</v>
      </c>
      <c r="C28" s="135" t="str">
        <f>IF(B28&gt;0,B28+(10*LOG('Tab F5 - TOB Factor Table'!B19))," ")</f>
        <v xml:space="preserve"> </v>
      </c>
      <c r="D28" s="144" t="str">
        <f t="shared" si="9"/>
        <v xml:space="preserve"> </v>
      </c>
      <c r="E28" s="149" t="str">
        <f>IF(B28&gt;0,'Tab F3 - Wtg Values Table'!B19," ")</f>
        <v xml:space="preserve"> </v>
      </c>
      <c r="F28" s="138" t="str">
        <f t="shared" si="10"/>
        <v xml:space="preserve"> </v>
      </c>
      <c r="G28" s="144" t="str">
        <f t="shared" si="11"/>
        <v xml:space="preserve"> </v>
      </c>
      <c r="H28" s="137"/>
      <c r="I28" s="139">
        <v>400</v>
      </c>
      <c r="J28" s="134">
        <f>'Tab F4 - TOB Center Freq Calc'!O28</f>
        <v>-77.735020477728483</v>
      </c>
      <c r="K28" s="138" t="str">
        <f>IF(J28&gt;0,J28+(10*LOG('Tab F5 - TOB Factor Table'!B19))," ")</f>
        <v xml:space="preserve"> </v>
      </c>
      <c r="L28" s="143" t="str">
        <f t="shared" si="18"/>
        <v xml:space="preserve"> </v>
      </c>
      <c r="M28" s="147" t="str">
        <f>IF(J28&gt;0,'Tab F3 - Wtg Values Table'!C19," ")</f>
        <v xml:space="preserve"> </v>
      </c>
      <c r="N28" s="135" t="str">
        <f t="shared" si="19"/>
        <v xml:space="preserve"> </v>
      </c>
      <c r="O28" s="143" t="str">
        <f t="shared" si="20"/>
        <v xml:space="preserve"> </v>
      </c>
      <c r="P28" s="137"/>
      <c r="Q28" s="139">
        <v>400</v>
      </c>
      <c r="R28" s="134">
        <f>'Tab F4 - TOB Center Freq Calc'!O28</f>
        <v>-77.735020477728483</v>
      </c>
      <c r="S28" s="138" t="str">
        <f>IF(R28&gt;0,R28+(10*LOG('Tab F5 - TOB Factor Table'!B19))," ")</f>
        <v xml:space="preserve"> </v>
      </c>
      <c r="T28" s="143" t="str">
        <f t="shared" si="21"/>
        <v xml:space="preserve"> </v>
      </c>
      <c r="U28" s="147" t="str">
        <f>IF(R28&gt;0,'Tab F3 - Wtg Values Table'!D19," ")</f>
        <v xml:space="preserve"> </v>
      </c>
      <c r="V28" s="135" t="str">
        <f t="shared" si="22"/>
        <v xml:space="preserve"> </v>
      </c>
      <c r="W28" s="143" t="str">
        <f t="shared" si="23"/>
        <v xml:space="preserve"> </v>
      </c>
      <c r="X28" s="137"/>
      <c r="Y28" s="139">
        <v>400</v>
      </c>
      <c r="Z28" s="134">
        <f>'Tab F4 - TOB Center Freq Calc'!O28</f>
        <v>-77.735020477728483</v>
      </c>
      <c r="AA28" s="138" t="str">
        <f>IF(Z28&gt;0,Z28+(10*LOG('Tab F5 - TOB Factor Table'!B19))," ")</f>
        <v xml:space="preserve"> </v>
      </c>
      <c r="AB28" s="143" t="str">
        <f t="shared" si="12"/>
        <v xml:space="preserve"> </v>
      </c>
      <c r="AC28" s="147" t="str">
        <f>IF(Z28&gt;0,'Tab F3 - Wtg Values Table'!E19," ")</f>
        <v xml:space="preserve"> </v>
      </c>
      <c r="AD28" s="135" t="str">
        <f t="shared" si="13"/>
        <v xml:space="preserve"> </v>
      </c>
      <c r="AE28" s="143" t="str">
        <f t="shared" si="14"/>
        <v xml:space="preserve"> </v>
      </c>
      <c r="AF28" s="137"/>
      <c r="AG28" s="139">
        <v>400</v>
      </c>
      <c r="AH28" s="134">
        <f>'Tab F4 - TOB Center Freq Calc'!O28</f>
        <v>-77.735020477728483</v>
      </c>
      <c r="AI28" s="138" t="str">
        <f>IF(AH28&gt;0,AH28+(10*LOG('Tab F5 - TOB Factor Table'!B19))," ")</f>
        <v xml:space="preserve"> </v>
      </c>
      <c r="AJ28" s="143" t="str">
        <f t="shared" si="17"/>
        <v xml:space="preserve"> </v>
      </c>
      <c r="AK28" s="147" t="str">
        <f>IF(AH28&gt;0,'Tab F3 - Wtg Values Table'!F19," ")</f>
        <v xml:space="preserve"> </v>
      </c>
      <c r="AL28" s="135" t="str">
        <f t="shared" si="15"/>
        <v xml:space="preserve"> </v>
      </c>
      <c r="AM28" s="143" t="str">
        <f t="shared" si="16"/>
        <v xml:space="preserve"> </v>
      </c>
      <c r="AO28" s="52">
        <v>400</v>
      </c>
      <c r="AP28" s="134">
        <f>'Tab F4 - TOB Center Freq Calc'!O28</f>
        <v>-77.735020477728483</v>
      </c>
      <c r="AQ28" s="135" t="str">
        <f>IF(AP28&gt;0,AP28+(10*LOG('Tab F5 - TOB Factor Table'!B19))," ")</f>
        <v xml:space="preserve"> </v>
      </c>
      <c r="AR28" s="144" t="str">
        <f t="shared" si="8"/>
        <v xml:space="preserve"> </v>
      </c>
      <c r="AS28" s="147">
        <v>0</v>
      </c>
      <c r="AT28" s="138" t="str">
        <f t="shared" si="6"/>
        <v xml:space="preserve"> </v>
      </c>
      <c r="AU28" s="144" t="str">
        <f t="shared" si="7"/>
        <v xml:space="preserve"> </v>
      </c>
    </row>
    <row r="29" spans="1:49" ht="14.45" customHeight="1" x14ac:dyDescent="0.25">
      <c r="A29" s="52">
        <v>500</v>
      </c>
      <c r="B29" s="134">
        <f>'Tab F4 - TOB Center Freq Calc'!O29</f>
        <v>-81.857307793841954</v>
      </c>
      <c r="C29" s="135" t="str">
        <f>IF(B29&gt;0,B29+(10*LOG('Tab F5 - TOB Factor Table'!B20))," ")</f>
        <v xml:space="preserve"> </v>
      </c>
      <c r="D29" s="144" t="str">
        <f t="shared" si="9"/>
        <v xml:space="preserve"> </v>
      </c>
      <c r="E29" s="149" t="str">
        <f>IF(B29&gt;0,'Tab F3 - Wtg Values Table'!B20," ")</f>
        <v xml:space="preserve"> </v>
      </c>
      <c r="F29" s="138" t="str">
        <f t="shared" si="10"/>
        <v xml:space="preserve"> </v>
      </c>
      <c r="G29" s="144" t="str">
        <f t="shared" si="11"/>
        <v xml:space="preserve"> </v>
      </c>
      <c r="H29" s="137"/>
      <c r="I29" s="139">
        <v>500</v>
      </c>
      <c r="J29" s="134">
        <f>'Tab F4 - TOB Center Freq Calc'!O29</f>
        <v>-81.857307793841954</v>
      </c>
      <c r="K29" s="138" t="str">
        <f>IF(J29&gt;0,J29+(10*LOG('Tab F5 - TOB Factor Table'!B20))," ")</f>
        <v xml:space="preserve"> </v>
      </c>
      <c r="L29" s="143" t="str">
        <f t="shared" si="18"/>
        <v xml:space="preserve"> </v>
      </c>
      <c r="M29" s="147" t="str">
        <f>IF(J29&gt;0,'Tab F3 - Wtg Values Table'!C20," ")</f>
        <v xml:space="preserve"> </v>
      </c>
      <c r="N29" s="135" t="str">
        <f t="shared" si="19"/>
        <v xml:space="preserve"> </v>
      </c>
      <c r="O29" s="143" t="str">
        <f t="shared" si="20"/>
        <v xml:space="preserve"> </v>
      </c>
      <c r="P29" s="137"/>
      <c r="Q29" s="139">
        <v>500</v>
      </c>
      <c r="R29" s="134">
        <f>'Tab F4 - TOB Center Freq Calc'!O29</f>
        <v>-81.857307793841954</v>
      </c>
      <c r="S29" s="138" t="str">
        <f>IF(R29&gt;0,R29+(10*LOG('Tab F5 - TOB Factor Table'!B20))," ")</f>
        <v xml:space="preserve"> </v>
      </c>
      <c r="T29" s="143" t="str">
        <f t="shared" si="21"/>
        <v xml:space="preserve"> </v>
      </c>
      <c r="U29" s="147" t="str">
        <f>IF(R29&gt;0,'Tab F3 - Wtg Values Table'!D20," ")</f>
        <v xml:space="preserve"> </v>
      </c>
      <c r="V29" s="135" t="str">
        <f t="shared" si="22"/>
        <v xml:space="preserve"> </v>
      </c>
      <c r="W29" s="143" t="str">
        <f t="shared" si="23"/>
        <v xml:space="preserve"> </v>
      </c>
      <c r="X29" s="137"/>
      <c r="Y29" s="139">
        <v>500</v>
      </c>
      <c r="Z29" s="134">
        <f>'Tab F4 - TOB Center Freq Calc'!O29</f>
        <v>-81.857307793841954</v>
      </c>
      <c r="AA29" s="138" t="str">
        <f>IF(Z29&gt;0,Z29+(10*LOG('Tab F5 - TOB Factor Table'!B20))," ")</f>
        <v xml:space="preserve"> </v>
      </c>
      <c r="AB29" s="143" t="str">
        <f t="shared" si="12"/>
        <v xml:space="preserve"> </v>
      </c>
      <c r="AC29" s="147" t="str">
        <f>IF(Z29&gt;0,'Tab F3 - Wtg Values Table'!E20," ")</f>
        <v xml:space="preserve"> </v>
      </c>
      <c r="AD29" s="135" t="str">
        <f t="shared" si="13"/>
        <v xml:space="preserve"> </v>
      </c>
      <c r="AE29" s="143" t="str">
        <f t="shared" si="14"/>
        <v xml:space="preserve"> </v>
      </c>
      <c r="AF29" s="137"/>
      <c r="AG29" s="139">
        <v>500</v>
      </c>
      <c r="AH29" s="134">
        <f>'Tab F4 - TOB Center Freq Calc'!O29</f>
        <v>-81.857307793841954</v>
      </c>
      <c r="AI29" s="138" t="str">
        <f>IF(AH29&gt;0,AH29+(10*LOG('Tab F5 - TOB Factor Table'!B20))," ")</f>
        <v xml:space="preserve"> </v>
      </c>
      <c r="AJ29" s="143" t="str">
        <f t="shared" si="17"/>
        <v xml:space="preserve"> </v>
      </c>
      <c r="AK29" s="147" t="str">
        <f>IF(AH29&gt;0,'Tab F3 - Wtg Values Table'!F20," ")</f>
        <v xml:space="preserve"> </v>
      </c>
      <c r="AL29" s="135" t="str">
        <f t="shared" si="15"/>
        <v xml:space="preserve"> </v>
      </c>
      <c r="AM29" s="143" t="str">
        <f t="shared" si="16"/>
        <v xml:space="preserve"> </v>
      </c>
      <c r="AO29" s="52">
        <v>500</v>
      </c>
      <c r="AP29" s="134">
        <f>'Tab F4 - TOB Center Freq Calc'!O29</f>
        <v>-81.857307793841954</v>
      </c>
      <c r="AQ29" s="135" t="str">
        <f>IF(AP29&gt;0,AP29+(10*LOG('Tab F5 - TOB Factor Table'!B20))," ")</f>
        <v xml:space="preserve"> </v>
      </c>
      <c r="AR29" s="144" t="str">
        <f t="shared" si="8"/>
        <v xml:space="preserve"> </v>
      </c>
      <c r="AS29" s="147">
        <v>0</v>
      </c>
      <c r="AT29" s="138" t="str">
        <f t="shared" si="6"/>
        <v xml:space="preserve"> </v>
      </c>
      <c r="AU29" s="144" t="str">
        <f t="shared" si="7"/>
        <v xml:space="preserve"> </v>
      </c>
    </row>
    <row r="30" spans="1:49" ht="14.45" customHeight="1" x14ac:dyDescent="0.25">
      <c r="A30" s="52">
        <v>630</v>
      </c>
      <c r="B30" s="134">
        <f>'Tab F4 - TOB Center Freq Calc'!O30</f>
        <v>-82.943977916146224</v>
      </c>
      <c r="C30" s="135" t="str">
        <f>IF(B30&gt;0,B30+(10*LOG('Tab F5 - TOB Factor Table'!B21))," ")</f>
        <v xml:space="preserve"> </v>
      </c>
      <c r="D30" s="144" t="str">
        <f t="shared" si="9"/>
        <v xml:space="preserve"> </v>
      </c>
      <c r="E30" s="149" t="str">
        <f>IF(B30&gt;0,'Tab F3 - Wtg Values Table'!B21," ")</f>
        <v xml:space="preserve"> </v>
      </c>
      <c r="F30" s="138" t="str">
        <f t="shared" si="10"/>
        <v xml:space="preserve"> </v>
      </c>
      <c r="G30" s="144" t="str">
        <f t="shared" si="11"/>
        <v xml:space="preserve"> </v>
      </c>
      <c r="H30" s="137"/>
      <c r="I30" s="139">
        <v>630</v>
      </c>
      <c r="J30" s="134">
        <f>'Tab F4 - TOB Center Freq Calc'!O30</f>
        <v>-82.943977916146224</v>
      </c>
      <c r="K30" s="138" t="str">
        <f>IF(J30&gt;0,J30+(10*LOG('Tab F5 - TOB Factor Table'!B21))," ")</f>
        <v xml:space="preserve"> </v>
      </c>
      <c r="L30" s="143" t="str">
        <f t="shared" si="18"/>
        <v xml:space="preserve"> </v>
      </c>
      <c r="M30" s="147" t="str">
        <f>IF(J30&gt;0,'Tab F3 - Wtg Values Table'!C21," ")</f>
        <v xml:space="preserve"> </v>
      </c>
      <c r="N30" s="135" t="str">
        <f t="shared" si="19"/>
        <v xml:space="preserve"> </v>
      </c>
      <c r="O30" s="143" t="str">
        <f t="shared" si="20"/>
        <v xml:space="preserve"> </v>
      </c>
      <c r="P30" s="137"/>
      <c r="Q30" s="139">
        <v>630</v>
      </c>
      <c r="R30" s="134">
        <f>'Tab F4 - TOB Center Freq Calc'!O30</f>
        <v>-82.943977916146224</v>
      </c>
      <c r="S30" s="138" t="str">
        <f>IF(R30&gt;0,R30+(10*LOG('Tab F5 - TOB Factor Table'!B21))," ")</f>
        <v xml:space="preserve"> </v>
      </c>
      <c r="T30" s="143" t="str">
        <f t="shared" si="21"/>
        <v xml:space="preserve"> </v>
      </c>
      <c r="U30" s="147" t="str">
        <f>IF(R30&gt;0,'Tab F3 - Wtg Values Table'!D21," ")</f>
        <v xml:space="preserve"> </v>
      </c>
      <c r="V30" s="135" t="str">
        <f t="shared" si="22"/>
        <v xml:space="preserve"> </v>
      </c>
      <c r="W30" s="143" t="str">
        <f t="shared" si="23"/>
        <v xml:space="preserve"> </v>
      </c>
      <c r="X30" s="137"/>
      <c r="Y30" s="139">
        <v>630</v>
      </c>
      <c r="Z30" s="134">
        <f>'Tab F4 - TOB Center Freq Calc'!O30</f>
        <v>-82.943977916146224</v>
      </c>
      <c r="AA30" s="138" t="str">
        <f>IF(Z30&gt;0,Z30+(10*LOG('Tab F5 - TOB Factor Table'!B21))," ")</f>
        <v xml:space="preserve"> </v>
      </c>
      <c r="AB30" s="143" t="str">
        <f t="shared" si="12"/>
        <v xml:space="preserve"> </v>
      </c>
      <c r="AC30" s="147" t="str">
        <f>IF(Z30&gt;0,'Tab F3 - Wtg Values Table'!E21," ")</f>
        <v xml:space="preserve"> </v>
      </c>
      <c r="AD30" s="135" t="str">
        <f t="shared" si="13"/>
        <v xml:space="preserve"> </v>
      </c>
      <c r="AE30" s="143" t="str">
        <f t="shared" si="14"/>
        <v xml:space="preserve"> </v>
      </c>
      <c r="AF30" s="137"/>
      <c r="AG30" s="139">
        <v>630</v>
      </c>
      <c r="AH30" s="134">
        <f>'Tab F4 - TOB Center Freq Calc'!O30</f>
        <v>-82.943977916146224</v>
      </c>
      <c r="AI30" s="138" t="str">
        <f>IF(AH30&gt;0,AH30+(10*LOG('Tab F5 - TOB Factor Table'!B21))," ")</f>
        <v xml:space="preserve"> </v>
      </c>
      <c r="AJ30" s="143" t="str">
        <f t="shared" si="17"/>
        <v xml:space="preserve"> </v>
      </c>
      <c r="AK30" s="147" t="str">
        <f>IF(AH30&gt;0,'Tab F3 - Wtg Values Table'!F21," ")</f>
        <v xml:space="preserve"> </v>
      </c>
      <c r="AL30" s="135" t="str">
        <f t="shared" si="15"/>
        <v xml:space="preserve"> </v>
      </c>
      <c r="AM30" s="143" t="str">
        <f t="shared" si="16"/>
        <v xml:space="preserve"> </v>
      </c>
      <c r="AO30" s="52">
        <v>630</v>
      </c>
      <c r="AP30" s="134">
        <f>'Tab F4 - TOB Center Freq Calc'!O30</f>
        <v>-82.943977916146224</v>
      </c>
      <c r="AQ30" s="135" t="str">
        <f>IF(AP30&gt;0,AP30+(10*LOG('Tab F5 - TOB Factor Table'!B21))," ")</f>
        <v xml:space="preserve"> </v>
      </c>
      <c r="AR30" s="144" t="str">
        <f t="shared" si="8"/>
        <v xml:space="preserve"> </v>
      </c>
      <c r="AS30" s="147">
        <v>0</v>
      </c>
      <c r="AT30" s="138" t="str">
        <f t="shared" si="6"/>
        <v xml:space="preserve"> </v>
      </c>
      <c r="AU30" s="144" t="str">
        <f t="shared" si="7"/>
        <v xml:space="preserve"> </v>
      </c>
    </row>
    <row r="31" spans="1:49" ht="14.45" customHeight="1" x14ac:dyDescent="0.25">
      <c r="A31" s="52">
        <v>800</v>
      </c>
      <c r="B31" s="134">
        <f>'Tab F4 - TOB Center Freq Calc'!O31</f>
        <v>-86.295359448728121</v>
      </c>
      <c r="C31" s="135" t="str">
        <f>IF(B31&gt;0,B31+(10*LOG('Tab F5 - TOB Factor Table'!B22))," ")</f>
        <v xml:space="preserve"> </v>
      </c>
      <c r="D31" s="144" t="str">
        <f t="shared" si="9"/>
        <v xml:space="preserve"> </v>
      </c>
      <c r="E31" s="149" t="str">
        <f>IF(B31&gt;0,'Tab F3 - Wtg Values Table'!B22," ")</f>
        <v xml:space="preserve"> </v>
      </c>
      <c r="F31" s="138" t="str">
        <f t="shared" si="10"/>
        <v xml:space="preserve"> </v>
      </c>
      <c r="G31" s="144" t="str">
        <f t="shared" si="11"/>
        <v xml:space="preserve"> </v>
      </c>
      <c r="H31" s="137"/>
      <c r="I31" s="139">
        <v>800</v>
      </c>
      <c r="J31" s="134">
        <f>'Tab F4 - TOB Center Freq Calc'!O31</f>
        <v>-86.295359448728121</v>
      </c>
      <c r="K31" s="138" t="str">
        <f>IF(J31&gt;0,J31+(10*LOG('Tab F5 - TOB Factor Table'!B22))," ")</f>
        <v xml:space="preserve"> </v>
      </c>
      <c r="L31" s="143" t="str">
        <f t="shared" si="18"/>
        <v xml:space="preserve"> </v>
      </c>
      <c r="M31" s="147" t="str">
        <f>IF(J31&gt;0,'Tab F3 - Wtg Values Table'!C22," ")</f>
        <v xml:space="preserve"> </v>
      </c>
      <c r="N31" s="135" t="str">
        <f t="shared" si="19"/>
        <v xml:space="preserve"> </v>
      </c>
      <c r="O31" s="143" t="str">
        <f t="shared" si="20"/>
        <v xml:space="preserve"> </v>
      </c>
      <c r="P31" s="137"/>
      <c r="Q31" s="139">
        <v>800</v>
      </c>
      <c r="R31" s="134">
        <f>'Tab F4 - TOB Center Freq Calc'!O31</f>
        <v>-86.295359448728121</v>
      </c>
      <c r="S31" s="138" t="str">
        <f>IF(R31&gt;0,R31+(10*LOG('Tab F5 - TOB Factor Table'!B22))," ")</f>
        <v xml:space="preserve"> </v>
      </c>
      <c r="T31" s="143" t="str">
        <f t="shared" si="21"/>
        <v xml:space="preserve"> </v>
      </c>
      <c r="U31" s="147" t="str">
        <f>IF(R31&gt;0,'Tab F3 - Wtg Values Table'!D22," ")</f>
        <v xml:space="preserve"> </v>
      </c>
      <c r="V31" s="135" t="str">
        <f t="shared" si="22"/>
        <v xml:space="preserve"> </v>
      </c>
      <c r="W31" s="143" t="str">
        <f t="shared" si="23"/>
        <v xml:space="preserve"> </v>
      </c>
      <c r="X31" s="137"/>
      <c r="Y31" s="139">
        <v>800</v>
      </c>
      <c r="Z31" s="134">
        <f>'Tab F4 - TOB Center Freq Calc'!O31</f>
        <v>-86.295359448728121</v>
      </c>
      <c r="AA31" s="138" t="str">
        <f>IF(Z31&gt;0,Z31+(10*LOG('Tab F5 - TOB Factor Table'!B22))," ")</f>
        <v xml:space="preserve"> </v>
      </c>
      <c r="AB31" s="143" t="str">
        <f t="shared" si="12"/>
        <v xml:space="preserve"> </v>
      </c>
      <c r="AC31" s="147" t="str">
        <f>IF(Z31&gt;0,'Tab F3 - Wtg Values Table'!E22," ")</f>
        <v xml:space="preserve"> </v>
      </c>
      <c r="AD31" s="135" t="str">
        <f t="shared" si="13"/>
        <v xml:space="preserve"> </v>
      </c>
      <c r="AE31" s="143" t="str">
        <f t="shared" si="14"/>
        <v xml:space="preserve"> </v>
      </c>
      <c r="AF31" s="137"/>
      <c r="AG31" s="139">
        <v>800</v>
      </c>
      <c r="AH31" s="134">
        <f>'Tab F4 - TOB Center Freq Calc'!O31</f>
        <v>-86.295359448728121</v>
      </c>
      <c r="AI31" s="138" t="str">
        <f>IF(AH31&gt;0,AH31+(10*LOG('Tab F5 - TOB Factor Table'!B22))," ")</f>
        <v xml:space="preserve"> </v>
      </c>
      <c r="AJ31" s="143" t="str">
        <f t="shared" si="17"/>
        <v xml:space="preserve"> </v>
      </c>
      <c r="AK31" s="147" t="str">
        <f>IF(AH31&gt;0,'Tab F3 - Wtg Values Table'!F22," ")</f>
        <v xml:space="preserve"> </v>
      </c>
      <c r="AL31" s="135" t="str">
        <f t="shared" si="15"/>
        <v xml:space="preserve"> </v>
      </c>
      <c r="AM31" s="143" t="str">
        <f t="shared" si="16"/>
        <v xml:space="preserve"> </v>
      </c>
      <c r="AO31" s="52">
        <v>800</v>
      </c>
      <c r="AP31" s="134">
        <f>'Tab F4 - TOB Center Freq Calc'!O31</f>
        <v>-86.295359448728121</v>
      </c>
      <c r="AQ31" s="135" t="str">
        <f>IF(AP31&gt;0,AP31+(10*LOG('Tab F5 - TOB Factor Table'!B22))," ")</f>
        <v xml:space="preserve"> </v>
      </c>
      <c r="AR31" s="144" t="str">
        <f t="shared" si="8"/>
        <v xml:space="preserve"> </v>
      </c>
      <c r="AS31" s="147">
        <v>0</v>
      </c>
      <c r="AT31" s="138" t="str">
        <f t="shared" si="6"/>
        <v xml:space="preserve"> </v>
      </c>
      <c r="AU31" s="144" t="str">
        <f t="shared" si="7"/>
        <v xml:space="preserve"> </v>
      </c>
    </row>
    <row r="32" spans="1:49" ht="14.45" customHeight="1" x14ac:dyDescent="0.25">
      <c r="A32" s="52">
        <v>1000</v>
      </c>
      <c r="B32" s="134">
        <f>'Tab F4 - TOB Center Freq Calc'!O32</f>
        <v>-87.603907543041288</v>
      </c>
      <c r="C32" s="135" t="str">
        <f>IF(B32&gt;0,B32+(10*LOG('Tab F5 - TOB Factor Table'!B23))," ")</f>
        <v xml:space="preserve"> </v>
      </c>
      <c r="D32" s="144" t="str">
        <f t="shared" si="9"/>
        <v xml:space="preserve"> </v>
      </c>
      <c r="E32" s="149" t="str">
        <f>IF(B32&gt;0,'Tab F3 - Wtg Values Table'!B23," ")</f>
        <v xml:space="preserve"> </v>
      </c>
      <c r="F32" s="138" t="str">
        <f t="shared" si="10"/>
        <v xml:space="preserve"> </v>
      </c>
      <c r="G32" s="144" t="str">
        <f t="shared" si="11"/>
        <v xml:space="preserve"> </v>
      </c>
      <c r="H32" s="137"/>
      <c r="I32" s="139">
        <v>1000</v>
      </c>
      <c r="J32" s="134">
        <f>'Tab F4 - TOB Center Freq Calc'!O32</f>
        <v>-87.603907543041288</v>
      </c>
      <c r="K32" s="138" t="str">
        <f>IF(J32&gt;0,J32+(10*LOG('Tab F5 - TOB Factor Table'!B23))," ")</f>
        <v xml:space="preserve"> </v>
      </c>
      <c r="L32" s="143" t="str">
        <f t="shared" si="18"/>
        <v xml:space="preserve"> </v>
      </c>
      <c r="M32" s="147" t="str">
        <f>IF(J32&gt;0,'Tab F3 - Wtg Values Table'!C23," ")</f>
        <v xml:space="preserve"> </v>
      </c>
      <c r="N32" s="135" t="str">
        <f t="shared" si="19"/>
        <v xml:space="preserve"> </v>
      </c>
      <c r="O32" s="143" t="str">
        <f t="shared" si="20"/>
        <v xml:space="preserve"> </v>
      </c>
      <c r="P32" s="137"/>
      <c r="Q32" s="139">
        <v>1000</v>
      </c>
      <c r="R32" s="134">
        <f>'Tab F4 - TOB Center Freq Calc'!O32</f>
        <v>-87.603907543041288</v>
      </c>
      <c r="S32" s="138" t="str">
        <f>IF(R32&gt;0,R32+(10*LOG('Tab F5 - TOB Factor Table'!B23))," ")</f>
        <v xml:space="preserve"> </v>
      </c>
      <c r="T32" s="143" t="str">
        <f t="shared" si="21"/>
        <v xml:space="preserve"> </v>
      </c>
      <c r="U32" s="147" t="str">
        <f>IF(R32&gt;0,'Tab F3 - Wtg Values Table'!D23," ")</f>
        <v xml:space="preserve"> </v>
      </c>
      <c r="V32" s="135" t="str">
        <f t="shared" si="22"/>
        <v xml:space="preserve"> </v>
      </c>
      <c r="W32" s="143" t="str">
        <f t="shared" si="23"/>
        <v xml:space="preserve"> </v>
      </c>
      <c r="X32" s="137"/>
      <c r="Y32" s="139">
        <v>1000</v>
      </c>
      <c r="Z32" s="134">
        <f>'Tab F4 - TOB Center Freq Calc'!O32</f>
        <v>-87.603907543041288</v>
      </c>
      <c r="AA32" s="138" t="str">
        <f>IF(Z32&gt;0,Z32+(10*LOG('Tab F5 - TOB Factor Table'!B23))," ")</f>
        <v xml:space="preserve"> </v>
      </c>
      <c r="AB32" s="143" t="str">
        <f t="shared" si="12"/>
        <v xml:space="preserve"> </v>
      </c>
      <c r="AC32" s="147" t="str">
        <f>IF(Z32&gt;0,'Tab F3 - Wtg Values Table'!E23," ")</f>
        <v xml:space="preserve"> </v>
      </c>
      <c r="AD32" s="135" t="str">
        <f t="shared" si="13"/>
        <v xml:space="preserve"> </v>
      </c>
      <c r="AE32" s="143" t="str">
        <f t="shared" si="14"/>
        <v xml:space="preserve"> </v>
      </c>
      <c r="AF32" s="137"/>
      <c r="AG32" s="139">
        <v>1000</v>
      </c>
      <c r="AH32" s="134">
        <f>'Tab F4 - TOB Center Freq Calc'!O32</f>
        <v>-87.603907543041288</v>
      </c>
      <c r="AI32" s="138" t="str">
        <f>IF(AH32&gt;0,AH32+(10*LOG('Tab F5 - TOB Factor Table'!B23))," ")</f>
        <v xml:space="preserve"> </v>
      </c>
      <c r="AJ32" s="143" t="str">
        <f t="shared" si="17"/>
        <v xml:space="preserve"> </v>
      </c>
      <c r="AK32" s="147" t="str">
        <f>IF(AH32&gt;0,'Tab F3 - Wtg Values Table'!F23," ")</f>
        <v xml:space="preserve"> </v>
      </c>
      <c r="AL32" s="135" t="str">
        <f t="shared" si="15"/>
        <v xml:space="preserve"> </v>
      </c>
      <c r="AM32" s="143" t="str">
        <f t="shared" si="16"/>
        <v xml:space="preserve"> </v>
      </c>
      <c r="AO32" s="52">
        <v>1000</v>
      </c>
      <c r="AP32" s="134">
        <f>'Tab F4 - TOB Center Freq Calc'!O32</f>
        <v>-87.603907543041288</v>
      </c>
      <c r="AQ32" s="135" t="str">
        <f>IF(AP32&gt;0,AP32+(10*LOG('Tab F5 - TOB Factor Table'!B23))," ")</f>
        <v xml:space="preserve"> </v>
      </c>
      <c r="AR32" s="144" t="str">
        <f t="shared" si="8"/>
        <v xml:space="preserve"> </v>
      </c>
      <c r="AS32" s="147">
        <v>0</v>
      </c>
      <c r="AT32" s="138" t="str">
        <f t="shared" si="6"/>
        <v xml:space="preserve"> </v>
      </c>
      <c r="AU32" s="144" t="str">
        <f t="shared" si="7"/>
        <v xml:space="preserve"> </v>
      </c>
    </row>
    <row r="33" spans="1:47" ht="14.45" customHeight="1" x14ac:dyDescent="0.25">
      <c r="A33" s="52">
        <v>1250</v>
      </c>
      <c r="B33" s="134">
        <f>'Tab F4 - TOB Center Freq Calc'!O33</f>
        <v>-92.164888045566741</v>
      </c>
      <c r="C33" s="135" t="str">
        <f>IF(B33&gt;0,B33+(10*LOG('Tab F5 - TOB Factor Table'!B24))," ")</f>
        <v xml:space="preserve"> </v>
      </c>
      <c r="D33" s="144" t="str">
        <f t="shared" si="9"/>
        <v xml:space="preserve"> </v>
      </c>
      <c r="E33" s="149" t="str">
        <f>IF(B33&gt;0,'Tab F3 - Wtg Values Table'!B24," ")</f>
        <v xml:space="preserve"> </v>
      </c>
      <c r="F33" s="138" t="str">
        <f t="shared" si="10"/>
        <v xml:space="preserve"> </v>
      </c>
      <c r="G33" s="144" t="str">
        <f t="shared" si="11"/>
        <v xml:space="preserve"> </v>
      </c>
      <c r="H33" s="137"/>
      <c r="I33" s="139">
        <v>1250</v>
      </c>
      <c r="J33" s="134">
        <f>'Tab F4 - TOB Center Freq Calc'!O33</f>
        <v>-92.164888045566741</v>
      </c>
      <c r="K33" s="138" t="str">
        <f>IF(J33&gt;0,J33+(10*LOG('Tab F5 - TOB Factor Table'!B24))," ")</f>
        <v xml:space="preserve"> </v>
      </c>
      <c r="L33" s="143" t="str">
        <f t="shared" si="18"/>
        <v xml:space="preserve"> </v>
      </c>
      <c r="M33" s="147" t="str">
        <f>IF(J33&gt;0,'Tab F3 - Wtg Values Table'!C24," ")</f>
        <v xml:space="preserve"> </v>
      </c>
      <c r="N33" s="135" t="str">
        <f t="shared" si="19"/>
        <v xml:space="preserve"> </v>
      </c>
      <c r="O33" s="143" t="str">
        <f t="shared" si="20"/>
        <v xml:space="preserve"> </v>
      </c>
      <c r="P33" s="137"/>
      <c r="Q33" s="139">
        <v>1250</v>
      </c>
      <c r="R33" s="134">
        <f>'Tab F4 - TOB Center Freq Calc'!O33</f>
        <v>-92.164888045566741</v>
      </c>
      <c r="S33" s="138" t="str">
        <f>IF(R33&gt;0,R33+(10*LOG('Tab F5 - TOB Factor Table'!B24))," ")</f>
        <v xml:space="preserve"> </v>
      </c>
      <c r="T33" s="143" t="str">
        <f t="shared" si="21"/>
        <v xml:space="preserve"> </v>
      </c>
      <c r="U33" s="147" t="str">
        <f>IF(R33&gt;0,'Tab F3 - Wtg Values Table'!D24," ")</f>
        <v xml:space="preserve"> </v>
      </c>
      <c r="V33" s="135" t="str">
        <f t="shared" si="22"/>
        <v xml:space="preserve"> </v>
      </c>
      <c r="W33" s="143" t="str">
        <f t="shared" si="23"/>
        <v xml:space="preserve"> </v>
      </c>
      <c r="X33" s="137"/>
      <c r="Y33" s="139">
        <v>1250</v>
      </c>
      <c r="Z33" s="134">
        <f>'Tab F4 - TOB Center Freq Calc'!O33</f>
        <v>-92.164888045566741</v>
      </c>
      <c r="AA33" s="138" t="str">
        <f>IF(Z33&gt;0,Z33+(10*LOG('Tab F5 - TOB Factor Table'!B24))," ")</f>
        <v xml:space="preserve"> </v>
      </c>
      <c r="AB33" s="143" t="str">
        <f t="shared" si="12"/>
        <v xml:space="preserve"> </v>
      </c>
      <c r="AC33" s="147" t="str">
        <f>IF(Z33&gt;0,'Tab F3 - Wtg Values Table'!E24," ")</f>
        <v xml:space="preserve"> </v>
      </c>
      <c r="AD33" s="135" t="str">
        <f t="shared" si="13"/>
        <v xml:space="preserve"> </v>
      </c>
      <c r="AE33" s="143" t="str">
        <f t="shared" si="14"/>
        <v xml:space="preserve"> </v>
      </c>
      <c r="AF33" s="137"/>
      <c r="AG33" s="139">
        <v>1250</v>
      </c>
      <c r="AH33" s="134">
        <f>'Tab F4 - TOB Center Freq Calc'!O33</f>
        <v>-92.164888045566741</v>
      </c>
      <c r="AI33" s="138" t="str">
        <f>IF(AH33&gt;0,AH33+(10*LOG('Tab F5 - TOB Factor Table'!B24))," ")</f>
        <v xml:space="preserve"> </v>
      </c>
      <c r="AJ33" s="143" t="str">
        <f t="shared" si="17"/>
        <v xml:space="preserve"> </v>
      </c>
      <c r="AK33" s="147" t="str">
        <f>IF(AH33&gt;0,'Tab F3 - Wtg Values Table'!F24," ")</f>
        <v xml:space="preserve"> </v>
      </c>
      <c r="AL33" s="135" t="str">
        <f t="shared" si="15"/>
        <v xml:space="preserve"> </v>
      </c>
      <c r="AM33" s="143" t="str">
        <f t="shared" si="16"/>
        <v xml:space="preserve"> </v>
      </c>
      <c r="AO33" s="52">
        <v>1250</v>
      </c>
      <c r="AP33" s="134">
        <f>'Tab F4 - TOB Center Freq Calc'!O33</f>
        <v>-92.164888045566741</v>
      </c>
      <c r="AQ33" s="135" t="str">
        <f>IF(AP33&gt;0,AP33+(10*LOG('Tab F5 - TOB Factor Table'!B24))," ")</f>
        <v xml:space="preserve"> </v>
      </c>
      <c r="AR33" s="144" t="str">
        <f t="shared" si="8"/>
        <v xml:space="preserve"> </v>
      </c>
      <c r="AS33" s="147">
        <v>0</v>
      </c>
      <c r="AT33" s="138" t="str">
        <f t="shared" si="6"/>
        <v xml:space="preserve"> </v>
      </c>
      <c r="AU33" s="144" t="str">
        <f t="shared" si="7"/>
        <v xml:space="preserve"> </v>
      </c>
    </row>
    <row r="34" spans="1:47" ht="14.45" customHeight="1" x14ac:dyDescent="0.25">
      <c r="A34" s="52">
        <v>1600</v>
      </c>
      <c r="B34" s="134">
        <f>'Tab F4 - TOB Center Freq Calc'!O34</f>
        <v>-94.630632527128697</v>
      </c>
      <c r="C34" s="135" t="str">
        <f>IF(B34&gt;0,B34+(10*LOG('Tab F5 - TOB Factor Table'!B25))," ")</f>
        <v xml:space="preserve"> </v>
      </c>
      <c r="D34" s="144" t="str">
        <f t="shared" si="9"/>
        <v xml:space="preserve"> </v>
      </c>
      <c r="E34" s="149" t="str">
        <f>IF(B34&gt;0,'Tab F3 - Wtg Values Table'!B25," ")</f>
        <v xml:space="preserve"> </v>
      </c>
      <c r="F34" s="138" t="str">
        <f t="shared" si="10"/>
        <v xml:space="preserve"> </v>
      </c>
      <c r="G34" s="144" t="str">
        <f t="shared" si="11"/>
        <v xml:space="preserve"> </v>
      </c>
      <c r="H34" s="137"/>
      <c r="I34" s="139">
        <v>1600</v>
      </c>
      <c r="J34" s="134">
        <f>'Tab F4 - TOB Center Freq Calc'!O34</f>
        <v>-94.630632527128697</v>
      </c>
      <c r="K34" s="138" t="str">
        <f>IF(J34&gt;0,J34+(10*LOG('Tab F5 - TOB Factor Table'!B25))," ")</f>
        <v xml:space="preserve"> </v>
      </c>
      <c r="L34" s="143" t="str">
        <f t="shared" si="18"/>
        <v xml:space="preserve"> </v>
      </c>
      <c r="M34" s="147" t="str">
        <f>IF(J34&gt;0,'Tab F3 - Wtg Values Table'!C25," ")</f>
        <v xml:space="preserve"> </v>
      </c>
      <c r="N34" s="135" t="str">
        <f t="shared" si="19"/>
        <v xml:space="preserve"> </v>
      </c>
      <c r="O34" s="143" t="str">
        <f t="shared" si="20"/>
        <v xml:space="preserve"> </v>
      </c>
      <c r="P34" s="137"/>
      <c r="Q34" s="139">
        <v>1600</v>
      </c>
      <c r="R34" s="134">
        <f>'Tab F4 - TOB Center Freq Calc'!O34</f>
        <v>-94.630632527128697</v>
      </c>
      <c r="S34" s="138" t="str">
        <f>IF(R34&gt;0,R34+(10*LOG('Tab F5 - TOB Factor Table'!B25))," ")</f>
        <v xml:space="preserve"> </v>
      </c>
      <c r="T34" s="143" t="str">
        <f t="shared" si="21"/>
        <v xml:space="preserve"> </v>
      </c>
      <c r="U34" s="147" t="str">
        <f>IF(R34&gt;0,'Tab F3 - Wtg Values Table'!D25," ")</f>
        <v xml:space="preserve"> </v>
      </c>
      <c r="V34" s="135" t="str">
        <f t="shared" si="22"/>
        <v xml:space="preserve"> </v>
      </c>
      <c r="W34" s="143" t="str">
        <f t="shared" si="23"/>
        <v xml:space="preserve"> </v>
      </c>
      <c r="X34" s="137"/>
      <c r="Y34" s="139">
        <v>1600</v>
      </c>
      <c r="Z34" s="134">
        <f>'Tab F4 - TOB Center Freq Calc'!O34</f>
        <v>-94.630632527128697</v>
      </c>
      <c r="AA34" s="138" t="str">
        <f>IF(Z34&gt;0,Z34+(10*LOG('Tab F5 - TOB Factor Table'!B25))," ")</f>
        <v xml:space="preserve"> </v>
      </c>
      <c r="AB34" s="143" t="str">
        <f t="shared" si="12"/>
        <v xml:space="preserve"> </v>
      </c>
      <c r="AC34" s="147" t="str">
        <f>IF(Z34&gt;0,'Tab F3 - Wtg Values Table'!E25," ")</f>
        <v xml:space="preserve"> </v>
      </c>
      <c r="AD34" s="135" t="str">
        <f t="shared" si="13"/>
        <v xml:space="preserve"> </v>
      </c>
      <c r="AE34" s="143" t="str">
        <f t="shared" si="14"/>
        <v xml:space="preserve"> </v>
      </c>
      <c r="AF34" s="137"/>
      <c r="AG34" s="139">
        <v>1600</v>
      </c>
      <c r="AH34" s="134">
        <f>'Tab F4 - TOB Center Freq Calc'!O34</f>
        <v>-94.630632527128697</v>
      </c>
      <c r="AI34" s="138" t="str">
        <f>IF(AH34&gt;0,AH34+(10*LOG('Tab F5 - TOB Factor Table'!B25))," ")</f>
        <v xml:space="preserve"> </v>
      </c>
      <c r="AJ34" s="143" t="str">
        <f t="shared" si="17"/>
        <v xml:space="preserve"> </v>
      </c>
      <c r="AK34" s="147" t="str">
        <f>IF(AH34&gt;0,'Tab F3 - Wtg Values Table'!F25," ")</f>
        <v xml:space="preserve"> </v>
      </c>
      <c r="AL34" s="135" t="str">
        <f t="shared" si="15"/>
        <v xml:space="preserve"> </v>
      </c>
      <c r="AM34" s="143" t="str">
        <f t="shared" si="16"/>
        <v xml:space="preserve"> </v>
      </c>
      <c r="AO34" s="52">
        <v>1600</v>
      </c>
      <c r="AP34" s="134">
        <f>'Tab F4 - TOB Center Freq Calc'!O34</f>
        <v>-94.630632527128697</v>
      </c>
      <c r="AQ34" s="135" t="str">
        <f>IF(AP34&gt;0,AP34+(10*LOG('Tab F5 - TOB Factor Table'!B25))," ")</f>
        <v xml:space="preserve"> </v>
      </c>
      <c r="AR34" s="144" t="str">
        <f t="shared" si="8"/>
        <v xml:space="preserve"> </v>
      </c>
      <c r="AS34" s="147">
        <v>0</v>
      </c>
      <c r="AT34" s="138" t="str">
        <f t="shared" si="6"/>
        <v xml:space="preserve"> </v>
      </c>
      <c r="AU34" s="144" t="str">
        <f t="shared" si="7"/>
        <v xml:space="preserve"> </v>
      </c>
    </row>
    <row r="35" spans="1:47" ht="14.45" customHeight="1" x14ac:dyDescent="0.25">
      <c r="A35" s="52">
        <v>2000</v>
      </c>
      <c r="B35" s="134">
        <f>'Tab F4 - TOB Center Freq Calc'!O35</f>
        <v>-96.609047951982447</v>
      </c>
      <c r="C35" s="135" t="str">
        <f>IF(B35&gt;0,B35+(10*LOG('Tab F5 - TOB Factor Table'!B26))," ")</f>
        <v xml:space="preserve"> </v>
      </c>
      <c r="D35" s="144" t="str">
        <f t="shared" si="9"/>
        <v xml:space="preserve"> </v>
      </c>
      <c r="E35" s="149" t="str">
        <f>IF(B35&gt;0,'Tab F3 - Wtg Values Table'!B26," ")</f>
        <v xml:space="preserve"> </v>
      </c>
      <c r="F35" s="138" t="str">
        <f t="shared" si="10"/>
        <v xml:space="preserve"> </v>
      </c>
      <c r="G35" s="144" t="str">
        <f t="shared" si="11"/>
        <v xml:space="preserve"> </v>
      </c>
      <c r="H35" s="137"/>
      <c r="I35" s="139">
        <v>2000</v>
      </c>
      <c r="J35" s="134">
        <f>'Tab F4 - TOB Center Freq Calc'!O35</f>
        <v>-96.609047951982447</v>
      </c>
      <c r="K35" s="138" t="str">
        <f>IF(J35&gt;0,J35+(10*LOG('Tab F5 - TOB Factor Table'!B26))," ")</f>
        <v xml:space="preserve"> </v>
      </c>
      <c r="L35" s="143" t="str">
        <f t="shared" si="18"/>
        <v xml:space="preserve"> </v>
      </c>
      <c r="M35" s="147" t="str">
        <f>IF(J35&gt;0,'Tab F3 - Wtg Values Table'!C26," ")</f>
        <v xml:space="preserve"> </v>
      </c>
      <c r="N35" s="135" t="str">
        <f t="shared" si="19"/>
        <v xml:space="preserve"> </v>
      </c>
      <c r="O35" s="143" t="str">
        <f t="shared" si="20"/>
        <v xml:space="preserve"> </v>
      </c>
      <c r="P35" s="137"/>
      <c r="Q35" s="139">
        <v>2000</v>
      </c>
      <c r="R35" s="134">
        <f>'Tab F4 - TOB Center Freq Calc'!O35</f>
        <v>-96.609047951982447</v>
      </c>
      <c r="S35" s="138" t="str">
        <f>IF(R35&gt;0,R35+(10*LOG('Tab F5 - TOB Factor Table'!B26))," ")</f>
        <v xml:space="preserve"> </v>
      </c>
      <c r="T35" s="143" t="str">
        <f t="shared" si="21"/>
        <v xml:space="preserve"> </v>
      </c>
      <c r="U35" s="147" t="str">
        <f>IF(R35&gt;0,'Tab F3 - Wtg Values Table'!D26," ")</f>
        <v xml:space="preserve"> </v>
      </c>
      <c r="V35" s="135" t="str">
        <f t="shared" si="22"/>
        <v xml:space="preserve"> </v>
      </c>
      <c r="W35" s="143" t="str">
        <f t="shared" si="23"/>
        <v xml:space="preserve"> </v>
      </c>
      <c r="X35" s="137"/>
      <c r="Y35" s="139">
        <v>2000</v>
      </c>
      <c r="Z35" s="134">
        <f>'Tab F4 - TOB Center Freq Calc'!O35</f>
        <v>-96.609047951982447</v>
      </c>
      <c r="AA35" s="138" t="str">
        <f>IF(Z35&gt;0,Z35+(10*LOG('Tab F5 - TOB Factor Table'!B26))," ")</f>
        <v xml:space="preserve"> </v>
      </c>
      <c r="AB35" s="143" t="str">
        <f t="shared" si="12"/>
        <v xml:space="preserve"> </v>
      </c>
      <c r="AC35" s="147" t="str">
        <f>IF(Z35&gt;0,'Tab F3 - Wtg Values Table'!E26," ")</f>
        <v xml:space="preserve"> </v>
      </c>
      <c r="AD35" s="135" t="str">
        <f t="shared" si="13"/>
        <v xml:space="preserve"> </v>
      </c>
      <c r="AE35" s="143" t="str">
        <f t="shared" si="14"/>
        <v xml:space="preserve"> </v>
      </c>
      <c r="AF35" s="137"/>
      <c r="AG35" s="139">
        <v>2000</v>
      </c>
      <c r="AH35" s="134">
        <f>'Tab F4 - TOB Center Freq Calc'!O35</f>
        <v>-96.609047951982447</v>
      </c>
      <c r="AI35" s="138" t="str">
        <f>IF(AH35&gt;0,AH35+(10*LOG('Tab F5 - TOB Factor Table'!B26))," ")</f>
        <v xml:space="preserve"> </v>
      </c>
      <c r="AJ35" s="143" t="str">
        <f t="shared" si="17"/>
        <v xml:space="preserve"> </v>
      </c>
      <c r="AK35" s="147" t="str">
        <f>IF(AH35&gt;0,'Tab F3 - Wtg Values Table'!F26," ")</f>
        <v xml:space="preserve"> </v>
      </c>
      <c r="AL35" s="135" t="str">
        <f t="shared" si="15"/>
        <v xml:space="preserve"> </v>
      </c>
      <c r="AM35" s="143" t="str">
        <f t="shared" si="16"/>
        <v xml:space="preserve"> </v>
      </c>
      <c r="AO35" s="52">
        <v>2000</v>
      </c>
      <c r="AP35" s="134">
        <f>'Tab F4 - TOB Center Freq Calc'!O35</f>
        <v>-96.609047951982447</v>
      </c>
      <c r="AQ35" s="135" t="str">
        <f>IF(AP35&gt;0,AP35+(10*LOG('Tab F5 - TOB Factor Table'!B26))," ")</f>
        <v xml:space="preserve"> </v>
      </c>
      <c r="AR35" s="144" t="str">
        <f t="shared" si="8"/>
        <v xml:space="preserve"> </v>
      </c>
      <c r="AS35" s="147">
        <v>0</v>
      </c>
      <c r="AT35" s="138" t="str">
        <f t="shared" si="6"/>
        <v xml:space="preserve"> </v>
      </c>
      <c r="AU35" s="144" t="str">
        <f t="shared" si="7"/>
        <v xml:space="preserve"> </v>
      </c>
    </row>
    <row r="36" spans="1:47" ht="14.45" customHeight="1" x14ac:dyDescent="0.25">
      <c r="A36" s="52">
        <v>2500</v>
      </c>
      <c r="B36" s="134">
        <f>'Tab F4 - TOB Center Freq Calc'!O36</f>
        <v>-99.741896265870551</v>
      </c>
      <c r="C36" s="135" t="str">
        <f>IF(B36&gt;0,B36+(10*LOG('Tab F5 - TOB Factor Table'!B27))," ")</f>
        <v xml:space="preserve"> </v>
      </c>
      <c r="D36" s="144" t="str">
        <f t="shared" si="9"/>
        <v xml:space="preserve"> </v>
      </c>
      <c r="E36" s="149" t="str">
        <f>IF(B36&gt;0,'Tab F3 - Wtg Values Table'!B27," ")</f>
        <v xml:space="preserve"> </v>
      </c>
      <c r="F36" s="138" t="str">
        <f t="shared" si="10"/>
        <v xml:space="preserve"> </v>
      </c>
      <c r="G36" s="144" t="str">
        <f t="shared" si="11"/>
        <v xml:space="preserve"> </v>
      </c>
      <c r="H36" s="137"/>
      <c r="I36" s="139">
        <v>2500</v>
      </c>
      <c r="J36" s="134">
        <f>'Tab F4 - TOB Center Freq Calc'!O36</f>
        <v>-99.741896265870551</v>
      </c>
      <c r="K36" s="138" t="str">
        <f>IF(J36&gt;0,J36+(10*LOG('Tab F5 - TOB Factor Table'!B27))," ")</f>
        <v xml:space="preserve"> </v>
      </c>
      <c r="L36" s="143" t="str">
        <f t="shared" si="18"/>
        <v xml:space="preserve"> </v>
      </c>
      <c r="M36" s="147" t="str">
        <f>IF(J36&gt;0,'Tab F3 - Wtg Values Table'!C27," ")</f>
        <v xml:space="preserve"> </v>
      </c>
      <c r="N36" s="135" t="str">
        <f t="shared" si="19"/>
        <v xml:space="preserve"> </v>
      </c>
      <c r="O36" s="143" t="str">
        <f t="shared" si="20"/>
        <v xml:space="preserve"> </v>
      </c>
      <c r="P36" s="137"/>
      <c r="Q36" s="139">
        <v>2500</v>
      </c>
      <c r="R36" s="134">
        <f>'Tab F4 - TOB Center Freq Calc'!O36</f>
        <v>-99.741896265870551</v>
      </c>
      <c r="S36" s="138" t="str">
        <f>IF(R36&gt;0,R36+(10*LOG('Tab F5 - TOB Factor Table'!B27))," ")</f>
        <v xml:space="preserve"> </v>
      </c>
      <c r="T36" s="143" t="str">
        <f t="shared" si="21"/>
        <v xml:space="preserve"> </v>
      </c>
      <c r="U36" s="147" t="str">
        <f>IF(R36&gt;0,'Tab F3 - Wtg Values Table'!D27," ")</f>
        <v xml:space="preserve"> </v>
      </c>
      <c r="V36" s="135" t="str">
        <f t="shared" si="22"/>
        <v xml:space="preserve"> </v>
      </c>
      <c r="W36" s="143" t="str">
        <f t="shared" si="23"/>
        <v xml:space="preserve"> </v>
      </c>
      <c r="X36" s="137"/>
      <c r="Y36" s="139">
        <v>2500</v>
      </c>
      <c r="Z36" s="134">
        <f>'Tab F4 - TOB Center Freq Calc'!O36</f>
        <v>-99.741896265870551</v>
      </c>
      <c r="AA36" s="138" t="str">
        <f>IF(Z36&gt;0,Z36+(10*LOG('Tab F5 - TOB Factor Table'!B27))," ")</f>
        <v xml:space="preserve"> </v>
      </c>
      <c r="AB36" s="143" t="str">
        <f t="shared" si="12"/>
        <v xml:space="preserve"> </v>
      </c>
      <c r="AC36" s="147" t="str">
        <f>IF(Z36&gt;0,'Tab F3 - Wtg Values Table'!E27," ")</f>
        <v xml:space="preserve"> </v>
      </c>
      <c r="AD36" s="135" t="str">
        <f t="shared" si="13"/>
        <v xml:space="preserve"> </v>
      </c>
      <c r="AE36" s="143" t="str">
        <f t="shared" si="14"/>
        <v xml:space="preserve"> </v>
      </c>
      <c r="AF36" s="137"/>
      <c r="AG36" s="139">
        <v>2500</v>
      </c>
      <c r="AH36" s="134">
        <f>'Tab F4 - TOB Center Freq Calc'!O36</f>
        <v>-99.741896265870551</v>
      </c>
      <c r="AI36" s="138" t="str">
        <f>IF(AH36&gt;0,AH36+(10*LOG('Tab F5 - TOB Factor Table'!B27))," ")</f>
        <v xml:space="preserve"> </v>
      </c>
      <c r="AJ36" s="143" t="str">
        <f t="shared" si="17"/>
        <v xml:space="preserve"> </v>
      </c>
      <c r="AK36" s="147" t="str">
        <f>IF(AH36&gt;0,'Tab F3 - Wtg Values Table'!F27," ")</f>
        <v xml:space="preserve"> </v>
      </c>
      <c r="AL36" s="135" t="str">
        <f t="shared" si="15"/>
        <v xml:space="preserve"> </v>
      </c>
      <c r="AM36" s="143" t="str">
        <f t="shared" si="16"/>
        <v xml:space="preserve"> </v>
      </c>
      <c r="AO36" s="52">
        <v>2500</v>
      </c>
      <c r="AP36" s="134">
        <f>'Tab F4 - TOB Center Freq Calc'!O36</f>
        <v>-99.741896265870551</v>
      </c>
      <c r="AQ36" s="135" t="str">
        <f>IF(AP36&gt;0,AP36+(10*LOG('Tab F5 - TOB Factor Table'!B27))," ")</f>
        <v xml:space="preserve"> </v>
      </c>
      <c r="AR36" s="144" t="str">
        <f t="shared" si="8"/>
        <v xml:space="preserve"> </v>
      </c>
      <c r="AS36" s="147">
        <v>0</v>
      </c>
      <c r="AT36" s="138" t="str">
        <f t="shared" si="6"/>
        <v xml:space="preserve"> </v>
      </c>
      <c r="AU36" s="144" t="str">
        <f t="shared" si="7"/>
        <v xml:space="preserve"> </v>
      </c>
    </row>
    <row r="37" spans="1:47" ht="14.45" customHeight="1" x14ac:dyDescent="0.25">
      <c r="A37" s="52">
        <v>3150</v>
      </c>
      <c r="B37" s="134">
        <f>'Tab F4 - TOB Center Freq Calc'!O37</f>
        <v>-99.25009087214255</v>
      </c>
      <c r="C37" s="135" t="str">
        <f>IF(B37&gt;0,B37+(10*LOG('Tab F5 - TOB Factor Table'!B28))," ")</f>
        <v xml:space="preserve"> </v>
      </c>
      <c r="D37" s="144" t="str">
        <f t="shared" si="9"/>
        <v xml:space="preserve"> </v>
      </c>
      <c r="E37" s="149" t="str">
        <f>IF(B37&gt;0,'Tab F3 - Wtg Values Table'!B28," ")</f>
        <v xml:space="preserve"> </v>
      </c>
      <c r="F37" s="138" t="str">
        <f t="shared" si="10"/>
        <v xml:space="preserve"> </v>
      </c>
      <c r="G37" s="144" t="str">
        <f t="shared" si="11"/>
        <v xml:space="preserve"> </v>
      </c>
      <c r="H37" s="137"/>
      <c r="I37" s="139">
        <v>3150</v>
      </c>
      <c r="J37" s="134">
        <f>'Tab F4 - TOB Center Freq Calc'!O37</f>
        <v>-99.25009087214255</v>
      </c>
      <c r="K37" s="138" t="str">
        <f>IF(J37&gt;0,J37+(10*LOG('Tab F5 - TOB Factor Table'!B28))," ")</f>
        <v xml:space="preserve"> </v>
      </c>
      <c r="L37" s="143" t="str">
        <f t="shared" si="18"/>
        <v xml:space="preserve"> </v>
      </c>
      <c r="M37" s="147" t="str">
        <f>IF(J37&gt;0,'Tab F3 - Wtg Values Table'!C28," ")</f>
        <v xml:space="preserve"> </v>
      </c>
      <c r="N37" s="135" t="str">
        <f t="shared" si="19"/>
        <v xml:space="preserve"> </v>
      </c>
      <c r="O37" s="143" t="str">
        <f t="shared" si="20"/>
        <v xml:space="preserve"> </v>
      </c>
      <c r="P37" s="137"/>
      <c r="Q37" s="139">
        <v>3150</v>
      </c>
      <c r="R37" s="134">
        <f>'Tab F4 - TOB Center Freq Calc'!O37</f>
        <v>-99.25009087214255</v>
      </c>
      <c r="S37" s="138" t="str">
        <f>IF(R37&gt;0,R37+(10*LOG('Tab F5 - TOB Factor Table'!B28))," ")</f>
        <v xml:space="preserve"> </v>
      </c>
      <c r="T37" s="143" t="str">
        <f t="shared" si="21"/>
        <v xml:space="preserve"> </v>
      </c>
      <c r="U37" s="147" t="str">
        <f>IF(R37&gt;0,'Tab F3 - Wtg Values Table'!D28," ")</f>
        <v xml:space="preserve"> </v>
      </c>
      <c r="V37" s="135" t="str">
        <f t="shared" si="22"/>
        <v xml:space="preserve"> </v>
      </c>
      <c r="W37" s="143" t="str">
        <f t="shared" si="23"/>
        <v xml:space="preserve"> </v>
      </c>
      <c r="X37" s="137"/>
      <c r="Y37" s="139">
        <v>3150</v>
      </c>
      <c r="Z37" s="134">
        <f>'Tab F4 - TOB Center Freq Calc'!O37</f>
        <v>-99.25009087214255</v>
      </c>
      <c r="AA37" s="138" t="str">
        <f>IF(Z37&gt;0,Z37+(10*LOG('Tab F5 - TOB Factor Table'!B28))," ")</f>
        <v xml:space="preserve"> </v>
      </c>
      <c r="AB37" s="143" t="str">
        <f t="shared" si="12"/>
        <v xml:space="preserve"> </v>
      </c>
      <c r="AC37" s="147" t="str">
        <f>IF(Z37&gt;0,'Tab F3 - Wtg Values Table'!E28," ")</f>
        <v xml:space="preserve"> </v>
      </c>
      <c r="AD37" s="135" t="str">
        <f t="shared" si="13"/>
        <v xml:space="preserve"> </v>
      </c>
      <c r="AE37" s="143" t="str">
        <f t="shared" si="14"/>
        <v xml:space="preserve"> </v>
      </c>
      <c r="AF37" s="137"/>
      <c r="AG37" s="139">
        <v>3150</v>
      </c>
      <c r="AH37" s="134">
        <f>'Tab F4 - TOB Center Freq Calc'!O37</f>
        <v>-99.25009087214255</v>
      </c>
      <c r="AI37" s="138" t="str">
        <f>IF(AH37&gt;0,AH37+(10*LOG('Tab F5 - TOB Factor Table'!B28))," ")</f>
        <v xml:space="preserve"> </v>
      </c>
      <c r="AJ37" s="143" t="str">
        <f t="shared" si="17"/>
        <v xml:space="preserve"> </v>
      </c>
      <c r="AK37" s="147" t="str">
        <f>IF(AH37&gt;0,'Tab F3 - Wtg Values Table'!F28," ")</f>
        <v xml:space="preserve"> </v>
      </c>
      <c r="AL37" s="135" t="str">
        <f t="shared" si="15"/>
        <v xml:space="preserve"> </v>
      </c>
      <c r="AM37" s="143" t="str">
        <f t="shared" si="16"/>
        <v xml:space="preserve"> </v>
      </c>
      <c r="AO37" s="52">
        <v>3150</v>
      </c>
      <c r="AP37" s="134">
        <f>'Tab F4 - TOB Center Freq Calc'!O37</f>
        <v>-99.25009087214255</v>
      </c>
      <c r="AQ37" s="135" t="str">
        <f>IF(AP37&gt;0,AP37+(10*LOG('Tab F5 - TOB Factor Table'!B28))," ")</f>
        <v xml:space="preserve"> </v>
      </c>
      <c r="AR37" s="144" t="str">
        <f t="shared" si="8"/>
        <v xml:space="preserve"> </v>
      </c>
      <c r="AS37" s="147">
        <v>0</v>
      </c>
      <c r="AT37" s="138" t="str">
        <f t="shared" si="6"/>
        <v xml:space="preserve"> </v>
      </c>
      <c r="AU37" s="144" t="str">
        <f t="shared" si="7"/>
        <v xml:space="preserve"> </v>
      </c>
    </row>
    <row r="38" spans="1:47" ht="14.45" customHeight="1" x14ac:dyDescent="0.25">
      <c r="A38" s="52">
        <v>4000</v>
      </c>
      <c r="B38" s="134">
        <f>'Tab F4 - TOB Center Freq Calc'!O38</f>
        <v>-102.36923965539538</v>
      </c>
      <c r="C38" s="135" t="str">
        <f>IF(B38&gt;0,B38+(10*LOG('Tab F5 - TOB Factor Table'!B29))," ")</f>
        <v xml:space="preserve"> </v>
      </c>
      <c r="D38" s="144" t="str">
        <f t="shared" si="9"/>
        <v xml:space="preserve"> </v>
      </c>
      <c r="E38" s="149" t="str">
        <f>IF(B38&gt;0,'Tab F3 - Wtg Values Table'!B29," ")</f>
        <v xml:space="preserve"> </v>
      </c>
      <c r="F38" s="138" t="str">
        <f t="shared" si="10"/>
        <v xml:space="preserve"> </v>
      </c>
      <c r="G38" s="144" t="str">
        <f t="shared" si="11"/>
        <v xml:space="preserve"> </v>
      </c>
      <c r="H38" s="137"/>
      <c r="I38" s="139">
        <v>4000</v>
      </c>
      <c r="J38" s="134">
        <f>'Tab F4 - TOB Center Freq Calc'!O38</f>
        <v>-102.36923965539538</v>
      </c>
      <c r="K38" s="138" t="str">
        <f>IF(J38&gt;0,J38+(10*LOG('Tab F5 - TOB Factor Table'!B29))," ")</f>
        <v xml:space="preserve"> </v>
      </c>
      <c r="L38" s="143" t="str">
        <f t="shared" si="18"/>
        <v xml:space="preserve"> </v>
      </c>
      <c r="M38" s="147" t="str">
        <f>IF(J38&gt;0,'Tab F3 - Wtg Values Table'!C29," ")</f>
        <v xml:space="preserve"> </v>
      </c>
      <c r="N38" s="135" t="str">
        <f t="shared" si="19"/>
        <v xml:space="preserve"> </v>
      </c>
      <c r="O38" s="143" t="str">
        <f t="shared" si="20"/>
        <v xml:space="preserve"> </v>
      </c>
      <c r="P38" s="137"/>
      <c r="Q38" s="139">
        <v>4000</v>
      </c>
      <c r="R38" s="134">
        <f>'Tab F4 - TOB Center Freq Calc'!O38</f>
        <v>-102.36923965539538</v>
      </c>
      <c r="S38" s="138" t="str">
        <f>IF(R38&gt;0,R38+(10*LOG('Tab F5 - TOB Factor Table'!B29))," ")</f>
        <v xml:space="preserve"> </v>
      </c>
      <c r="T38" s="143" t="str">
        <f t="shared" si="21"/>
        <v xml:space="preserve"> </v>
      </c>
      <c r="U38" s="147" t="str">
        <f>IF(R38&gt;0,'Tab F3 - Wtg Values Table'!D29," ")</f>
        <v xml:space="preserve"> </v>
      </c>
      <c r="V38" s="135" t="str">
        <f t="shared" si="22"/>
        <v xml:space="preserve"> </v>
      </c>
      <c r="W38" s="143" t="str">
        <f t="shared" si="23"/>
        <v xml:space="preserve"> </v>
      </c>
      <c r="X38" s="137"/>
      <c r="Y38" s="139">
        <v>4000</v>
      </c>
      <c r="Z38" s="134">
        <f>'Tab F4 - TOB Center Freq Calc'!O38</f>
        <v>-102.36923965539538</v>
      </c>
      <c r="AA38" s="138" t="str">
        <f>IF(Z38&gt;0,Z38+(10*LOG('Tab F5 - TOB Factor Table'!B29))," ")</f>
        <v xml:space="preserve"> </v>
      </c>
      <c r="AB38" s="143" t="str">
        <f t="shared" si="12"/>
        <v xml:space="preserve"> </v>
      </c>
      <c r="AC38" s="147" t="str">
        <f>IF(Z38&gt;0,'Tab F3 - Wtg Values Table'!E29," ")</f>
        <v xml:space="preserve"> </v>
      </c>
      <c r="AD38" s="135" t="str">
        <f t="shared" si="13"/>
        <v xml:space="preserve"> </v>
      </c>
      <c r="AE38" s="143" t="str">
        <f t="shared" si="14"/>
        <v xml:space="preserve"> </v>
      </c>
      <c r="AF38" s="137"/>
      <c r="AG38" s="139">
        <v>4000</v>
      </c>
      <c r="AH38" s="134">
        <f>'Tab F4 - TOB Center Freq Calc'!O38</f>
        <v>-102.36923965539538</v>
      </c>
      <c r="AI38" s="138" t="str">
        <f>IF(AH38&gt;0,AH38+(10*LOG('Tab F5 - TOB Factor Table'!B29))," ")</f>
        <v xml:space="preserve"> </v>
      </c>
      <c r="AJ38" s="143" t="str">
        <f t="shared" si="17"/>
        <v xml:space="preserve"> </v>
      </c>
      <c r="AK38" s="147" t="str">
        <f>IF(AH38&gt;0,'Tab F3 - Wtg Values Table'!F29," ")</f>
        <v xml:space="preserve"> </v>
      </c>
      <c r="AL38" s="135" t="str">
        <f t="shared" si="15"/>
        <v xml:space="preserve"> </v>
      </c>
      <c r="AM38" s="143" t="str">
        <f t="shared" si="16"/>
        <v xml:space="preserve"> </v>
      </c>
      <c r="AO38" s="52">
        <v>4000</v>
      </c>
      <c r="AP38" s="134">
        <f>'Tab F4 - TOB Center Freq Calc'!O38</f>
        <v>-102.36923965539538</v>
      </c>
      <c r="AQ38" s="135" t="str">
        <f>IF(AP38&gt;0,AP38+(10*LOG('Tab F5 - TOB Factor Table'!B29))," ")</f>
        <v xml:space="preserve"> </v>
      </c>
      <c r="AR38" s="144" t="str">
        <f t="shared" si="8"/>
        <v xml:space="preserve"> </v>
      </c>
      <c r="AS38" s="147">
        <v>0</v>
      </c>
      <c r="AT38" s="138" t="str">
        <f t="shared" si="6"/>
        <v xml:space="preserve"> </v>
      </c>
      <c r="AU38" s="144" t="str">
        <f t="shared" si="7"/>
        <v xml:space="preserve"> </v>
      </c>
    </row>
    <row r="39" spans="1:47" ht="14.45" customHeight="1" x14ac:dyDescent="0.25">
      <c r="A39" s="52">
        <v>5000</v>
      </c>
      <c r="B39" s="134">
        <f>'Tab F4 - TOB Center Freq Calc'!O39</f>
        <v>-105.01501174031874</v>
      </c>
      <c r="C39" s="135" t="str">
        <f>IF(B39&gt;0,B39+(10*LOG('Tab F5 - TOB Factor Table'!B30))," ")</f>
        <v xml:space="preserve"> </v>
      </c>
      <c r="D39" s="144" t="str">
        <f t="shared" si="9"/>
        <v xml:space="preserve"> </v>
      </c>
      <c r="E39" s="149" t="str">
        <f>IF(B39&gt;0,'Tab F3 - Wtg Values Table'!B30," ")</f>
        <v xml:space="preserve"> </v>
      </c>
      <c r="F39" s="138" t="str">
        <f t="shared" si="10"/>
        <v xml:space="preserve"> </v>
      </c>
      <c r="G39" s="144" t="str">
        <f t="shared" si="11"/>
        <v xml:space="preserve"> </v>
      </c>
      <c r="H39" s="137"/>
      <c r="I39" s="139">
        <v>5000</v>
      </c>
      <c r="J39" s="134">
        <f>'Tab F4 - TOB Center Freq Calc'!O39</f>
        <v>-105.01501174031874</v>
      </c>
      <c r="K39" s="138" t="str">
        <f>IF(J39&gt;0,J39+(10*LOG('Tab F5 - TOB Factor Table'!B30))," ")</f>
        <v xml:space="preserve"> </v>
      </c>
      <c r="L39" s="143" t="str">
        <f t="shared" si="18"/>
        <v xml:space="preserve"> </v>
      </c>
      <c r="M39" s="147" t="str">
        <f>IF(J39&gt;0,'Tab F3 - Wtg Values Table'!C30," ")</f>
        <v xml:space="preserve"> </v>
      </c>
      <c r="N39" s="135" t="str">
        <f t="shared" si="19"/>
        <v xml:space="preserve"> </v>
      </c>
      <c r="O39" s="143" t="str">
        <f t="shared" si="20"/>
        <v xml:space="preserve"> </v>
      </c>
      <c r="P39" s="137"/>
      <c r="Q39" s="139">
        <v>5000</v>
      </c>
      <c r="R39" s="134">
        <f>'Tab F4 - TOB Center Freq Calc'!O39</f>
        <v>-105.01501174031874</v>
      </c>
      <c r="S39" s="138" t="str">
        <f>IF(R39&gt;0,R39+(10*LOG('Tab F5 - TOB Factor Table'!B30))," ")</f>
        <v xml:space="preserve"> </v>
      </c>
      <c r="T39" s="143" t="str">
        <f t="shared" si="21"/>
        <v xml:space="preserve"> </v>
      </c>
      <c r="U39" s="147" t="str">
        <f>IF(R39&gt;0,'Tab F3 - Wtg Values Table'!D30," ")</f>
        <v xml:space="preserve"> </v>
      </c>
      <c r="V39" s="135" t="str">
        <f t="shared" si="22"/>
        <v xml:space="preserve"> </v>
      </c>
      <c r="W39" s="143" t="str">
        <f t="shared" si="23"/>
        <v xml:space="preserve"> </v>
      </c>
      <c r="X39" s="137"/>
      <c r="Y39" s="139">
        <v>5000</v>
      </c>
      <c r="Z39" s="134">
        <f>'Tab F4 - TOB Center Freq Calc'!O39</f>
        <v>-105.01501174031874</v>
      </c>
      <c r="AA39" s="138" t="str">
        <f>IF(Z39&gt;0,Z39+(10*LOG('Tab F5 - TOB Factor Table'!B30))," ")</f>
        <v xml:space="preserve"> </v>
      </c>
      <c r="AB39" s="143" t="str">
        <f t="shared" si="12"/>
        <v xml:space="preserve"> </v>
      </c>
      <c r="AC39" s="147" t="str">
        <f>IF(Z39&gt;0,'Tab F3 - Wtg Values Table'!E30," ")</f>
        <v xml:space="preserve"> </v>
      </c>
      <c r="AD39" s="135" t="str">
        <f t="shared" si="13"/>
        <v xml:space="preserve"> </v>
      </c>
      <c r="AE39" s="143" t="str">
        <f t="shared" si="14"/>
        <v xml:space="preserve"> </v>
      </c>
      <c r="AF39" s="137"/>
      <c r="AG39" s="139">
        <v>5000</v>
      </c>
      <c r="AH39" s="134">
        <f>'Tab F4 - TOB Center Freq Calc'!O39</f>
        <v>-105.01501174031874</v>
      </c>
      <c r="AI39" s="138" t="str">
        <f>IF(AH39&gt;0,AH39+(10*LOG('Tab F5 - TOB Factor Table'!B30))," ")</f>
        <v xml:space="preserve"> </v>
      </c>
      <c r="AJ39" s="143" t="str">
        <f t="shared" si="17"/>
        <v xml:space="preserve"> </v>
      </c>
      <c r="AK39" s="147" t="str">
        <f>IF(AH39&gt;0,'Tab F3 - Wtg Values Table'!F30," ")</f>
        <v xml:space="preserve"> </v>
      </c>
      <c r="AL39" s="135" t="str">
        <f t="shared" si="15"/>
        <v xml:space="preserve"> </v>
      </c>
      <c r="AM39" s="143" t="str">
        <f t="shared" si="16"/>
        <v xml:space="preserve"> </v>
      </c>
      <c r="AO39" s="52">
        <v>5000</v>
      </c>
      <c r="AP39" s="134">
        <f>'Tab F4 - TOB Center Freq Calc'!O39</f>
        <v>-105.01501174031874</v>
      </c>
      <c r="AQ39" s="135" t="str">
        <f>IF(AP39&gt;0,AP39+(10*LOG('Tab F5 - TOB Factor Table'!B30))," ")</f>
        <v xml:space="preserve"> </v>
      </c>
      <c r="AR39" s="144" t="str">
        <f t="shared" si="8"/>
        <v xml:space="preserve"> </v>
      </c>
      <c r="AS39" s="147">
        <v>0</v>
      </c>
      <c r="AT39" s="138" t="str">
        <f t="shared" si="6"/>
        <v xml:space="preserve"> </v>
      </c>
      <c r="AU39" s="144" t="str">
        <f t="shared" si="7"/>
        <v xml:space="preserve"> </v>
      </c>
    </row>
    <row r="40" spans="1:47" ht="14.45" customHeight="1" x14ac:dyDescent="0.25">
      <c r="A40" s="52">
        <v>6300</v>
      </c>
      <c r="B40" s="134">
        <f>'Tab F4 - TOB Center Freq Calc'!O40</f>
        <v>-103.64696913644127</v>
      </c>
      <c r="C40" s="135" t="str">
        <f>IF(B40&gt;0,B40+(10*LOG('Tab F5 - TOB Factor Table'!B31))," ")</f>
        <v xml:space="preserve"> </v>
      </c>
      <c r="D40" s="144" t="str">
        <f t="shared" si="9"/>
        <v xml:space="preserve"> </v>
      </c>
      <c r="E40" s="149" t="str">
        <f>IF(B40&gt;0,'Tab F3 - Wtg Values Table'!B31," ")</f>
        <v xml:space="preserve"> </v>
      </c>
      <c r="F40" s="138" t="str">
        <f t="shared" si="10"/>
        <v xml:space="preserve"> </v>
      </c>
      <c r="G40" s="144" t="str">
        <f t="shared" si="11"/>
        <v xml:space="preserve"> </v>
      </c>
      <c r="H40" s="137"/>
      <c r="I40" s="139">
        <v>6300</v>
      </c>
      <c r="J40" s="134">
        <f>'Tab F4 - TOB Center Freq Calc'!O40</f>
        <v>-103.64696913644127</v>
      </c>
      <c r="K40" s="138" t="str">
        <f>IF(J40&gt;0,J40+(10*LOG('Tab F5 - TOB Factor Table'!B31))," ")</f>
        <v xml:space="preserve"> </v>
      </c>
      <c r="L40" s="143" t="str">
        <f t="shared" si="18"/>
        <v xml:space="preserve"> </v>
      </c>
      <c r="M40" s="147" t="str">
        <f>IF(J40&gt;0,'Tab F3 - Wtg Values Table'!C31," ")</f>
        <v xml:space="preserve"> </v>
      </c>
      <c r="N40" s="135" t="str">
        <f t="shared" si="19"/>
        <v xml:space="preserve"> </v>
      </c>
      <c r="O40" s="143" t="str">
        <f t="shared" si="20"/>
        <v xml:space="preserve"> </v>
      </c>
      <c r="P40" s="137"/>
      <c r="Q40" s="139">
        <v>6300</v>
      </c>
      <c r="R40" s="134">
        <f>'Tab F4 - TOB Center Freq Calc'!O40</f>
        <v>-103.64696913644127</v>
      </c>
      <c r="S40" s="138" t="str">
        <f>IF(R40&gt;0,R40+(10*LOG('Tab F5 - TOB Factor Table'!B31))," ")</f>
        <v xml:space="preserve"> </v>
      </c>
      <c r="T40" s="143" t="str">
        <f t="shared" si="21"/>
        <v xml:space="preserve"> </v>
      </c>
      <c r="U40" s="147" t="str">
        <f>IF(R40&gt;0,'Tab F3 - Wtg Values Table'!D31," ")</f>
        <v xml:space="preserve"> </v>
      </c>
      <c r="V40" s="135" t="str">
        <f t="shared" si="22"/>
        <v xml:space="preserve"> </v>
      </c>
      <c r="W40" s="143" t="str">
        <f t="shared" si="23"/>
        <v xml:space="preserve"> </v>
      </c>
      <c r="X40" s="137"/>
      <c r="Y40" s="139">
        <v>6300</v>
      </c>
      <c r="Z40" s="134">
        <f>'Tab F4 - TOB Center Freq Calc'!O40</f>
        <v>-103.64696913644127</v>
      </c>
      <c r="AA40" s="138" t="str">
        <f>IF(Z40&gt;0,Z40+(10*LOG('Tab F5 - TOB Factor Table'!B31))," ")</f>
        <v xml:space="preserve"> </v>
      </c>
      <c r="AB40" s="143" t="str">
        <f t="shared" si="12"/>
        <v xml:space="preserve"> </v>
      </c>
      <c r="AC40" s="147" t="str">
        <f>IF(Z40&gt;0,'Tab F3 - Wtg Values Table'!E31," ")</f>
        <v xml:space="preserve"> </v>
      </c>
      <c r="AD40" s="135" t="str">
        <f t="shared" si="13"/>
        <v xml:space="preserve"> </v>
      </c>
      <c r="AE40" s="143" t="str">
        <f t="shared" si="14"/>
        <v xml:space="preserve"> </v>
      </c>
      <c r="AF40" s="137"/>
      <c r="AG40" s="139">
        <v>6300</v>
      </c>
      <c r="AH40" s="134">
        <f>'Tab F4 - TOB Center Freq Calc'!O40</f>
        <v>-103.64696913644127</v>
      </c>
      <c r="AI40" s="138" t="str">
        <f>IF(AH40&gt;0,AH40+(10*LOG('Tab F5 - TOB Factor Table'!B31))," ")</f>
        <v xml:space="preserve"> </v>
      </c>
      <c r="AJ40" s="143" t="str">
        <f t="shared" si="17"/>
        <v xml:space="preserve"> </v>
      </c>
      <c r="AK40" s="147" t="str">
        <f>IF(AH40&gt;0,'Tab F3 - Wtg Values Table'!F31," ")</f>
        <v xml:space="preserve"> </v>
      </c>
      <c r="AL40" s="135" t="str">
        <f t="shared" si="15"/>
        <v xml:space="preserve"> </v>
      </c>
      <c r="AM40" s="143" t="str">
        <f t="shared" si="16"/>
        <v xml:space="preserve"> </v>
      </c>
      <c r="AO40" s="52">
        <v>6300</v>
      </c>
      <c r="AP40" s="134">
        <f>'Tab F4 - TOB Center Freq Calc'!O40</f>
        <v>-103.64696913644127</v>
      </c>
      <c r="AQ40" s="135" t="str">
        <f>IF(AP40&gt;0,AP40+(10*LOG('Tab F5 - TOB Factor Table'!B31))," ")</f>
        <v xml:space="preserve"> </v>
      </c>
      <c r="AR40" s="144" t="str">
        <f t="shared" si="8"/>
        <v xml:space="preserve"> </v>
      </c>
      <c r="AS40" s="147">
        <v>0</v>
      </c>
      <c r="AT40" s="138" t="str">
        <f t="shared" si="6"/>
        <v xml:space="preserve"> </v>
      </c>
      <c r="AU40" s="144" t="str">
        <f t="shared" si="7"/>
        <v xml:space="preserve"> </v>
      </c>
    </row>
    <row r="41" spans="1:47" ht="14.45" customHeight="1" x14ac:dyDescent="0.25">
      <c r="A41" s="52">
        <v>8000</v>
      </c>
      <c r="B41" s="134">
        <f>'Tab F4 - TOB Center Freq Calc'!O41</f>
        <v>-103.02883562424667</v>
      </c>
      <c r="C41" s="135" t="str">
        <f>IF(B41&gt;0,B41+(10*LOG('Tab F5 - TOB Factor Table'!B32))," ")</f>
        <v xml:space="preserve"> </v>
      </c>
      <c r="D41" s="144" t="str">
        <f t="shared" si="9"/>
        <v xml:space="preserve"> </v>
      </c>
      <c r="E41" s="149" t="str">
        <f>IF(B41&gt;0,'Tab F3 - Wtg Values Table'!B32," ")</f>
        <v xml:space="preserve"> </v>
      </c>
      <c r="F41" s="138" t="str">
        <f t="shared" si="10"/>
        <v xml:space="preserve"> </v>
      </c>
      <c r="G41" s="144" t="str">
        <f t="shared" si="11"/>
        <v xml:space="preserve"> </v>
      </c>
      <c r="H41" s="137"/>
      <c r="I41" s="139">
        <v>8000</v>
      </c>
      <c r="J41" s="134">
        <f>'Tab F4 - TOB Center Freq Calc'!O41</f>
        <v>-103.02883562424667</v>
      </c>
      <c r="K41" s="138" t="str">
        <f>IF(J41&gt;0,J41+(10*LOG('Tab F5 - TOB Factor Table'!B32))," ")</f>
        <v xml:space="preserve"> </v>
      </c>
      <c r="L41" s="143" t="str">
        <f t="shared" si="18"/>
        <v xml:space="preserve"> </v>
      </c>
      <c r="M41" s="147" t="str">
        <f>IF(J41&gt;0,'Tab F3 - Wtg Values Table'!C32," ")</f>
        <v xml:space="preserve"> </v>
      </c>
      <c r="N41" s="135" t="str">
        <f t="shared" si="19"/>
        <v xml:space="preserve"> </v>
      </c>
      <c r="O41" s="143" t="str">
        <f t="shared" si="20"/>
        <v xml:space="preserve"> </v>
      </c>
      <c r="P41" s="137"/>
      <c r="Q41" s="139">
        <v>8000</v>
      </c>
      <c r="R41" s="134">
        <f>'Tab F4 - TOB Center Freq Calc'!O41</f>
        <v>-103.02883562424667</v>
      </c>
      <c r="S41" s="138" t="str">
        <f>IF(R41&gt;0,R41+(10*LOG('Tab F5 - TOB Factor Table'!B32))," ")</f>
        <v xml:space="preserve"> </v>
      </c>
      <c r="T41" s="143" t="str">
        <f t="shared" si="21"/>
        <v xml:space="preserve"> </v>
      </c>
      <c r="U41" s="147" t="str">
        <f>IF(R41&gt;0,'Tab F3 - Wtg Values Table'!D32," ")</f>
        <v xml:space="preserve"> </v>
      </c>
      <c r="V41" s="135" t="str">
        <f t="shared" si="22"/>
        <v xml:space="preserve"> </v>
      </c>
      <c r="W41" s="143" t="str">
        <f t="shared" si="23"/>
        <v xml:space="preserve"> </v>
      </c>
      <c r="X41" s="137"/>
      <c r="Y41" s="139">
        <v>8000</v>
      </c>
      <c r="Z41" s="134">
        <f>'Tab F4 - TOB Center Freq Calc'!O41</f>
        <v>-103.02883562424667</v>
      </c>
      <c r="AA41" s="138" t="str">
        <f>IF(Z41&gt;0,Z41+(10*LOG('Tab F5 - TOB Factor Table'!B32))," ")</f>
        <v xml:space="preserve"> </v>
      </c>
      <c r="AB41" s="143" t="str">
        <f t="shared" si="12"/>
        <v xml:space="preserve"> </v>
      </c>
      <c r="AC41" s="147" t="str">
        <f>IF(Z41&gt;0,'Tab F3 - Wtg Values Table'!E32," ")</f>
        <v xml:space="preserve"> </v>
      </c>
      <c r="AD41" s="135" t="str">
        <f t="shared" si="13"/>
        <v xml:space="preserve"> </v>
      </c>
      <c r="AE41" s="143" t="str">
        <f t="shared" si="14"/>
        <v xml:space="preserve"> </v>
      </c>
      <c r="AF41" s="137"/>
      <c r="AG41" s="139">
        <v>8000</v>
      </c>
      <c r="AH41" s="134">
        <f>'Tab F4 - TOB Center Freq Calc'!O41</f>
        <v>-103.02883562424667</v>
      </c>
      <c r="AI41" s="138" t="str">
        <f>IF(AH41&gt;0,AH41+(10*LOG('Tab F5 - TOB Factor Table'!B32))," ")</f>
        <v xml:space="preserve"> </v>
      </c>
      <c r="AJ41" s="143" t="str">
        <f t="shared" si="17"/>
        <v xml:space="preserve"> </v>
      </c>
      <c r="AK41" s="147" t="str">
        <f>IF(AH41&gt;0,'Tab F3 - Wtg Values Table'!F32," ")</f>
        <v xml:space="preserve"> </v>
      </c>
      <c r="AL41" s="135" t="str">
        <f t="shared" si="15"/>
        <v xml:space="preserve"> </v>
      </c>
      <c r="AM41" s="143" t="str">
        <f t="shared" si="16"/>
        <v xml:space="preserve"> </v>
      </c>
      <c r="AO41" s="52">
        <v>8000</v>
      </c>
      <c r="AP41" s="134">
        <f>'Tab F4 - TOB Center Freq Calc'!O41</f>
        <v>-103.02883562424667</v>
      </c>
      <c r="AQ41" s="135" t="str">
        <f>IF(AP41&gt;0,AP41+(10*LOG('Tab F5 - TOB Factor Table'!B32))," ")</f>
        <v xml:space="preserve"> </v>
      </c>
      <c r="AR41" s="144" t="str">
        <f t="shared" si="8"/>
        <v xml:space="preserve"> </v>
      </c>
      <c r="AS41" s="147">
        <v>0</v>
      </c>
      <c r="AT41" s="138" t="str">
        <f t="shared" si="6"/>
        <v xml:space="preserve"> </v>
      </c>
      <c r="AU41" s="144" t="str">
        <f t="shared" si="7"/>
        <v xml:space="preserve"> </v>
      </c>
    </row>
    <row r="42" spans="1:47" ht="14.45" customHeight="1" x14ac:dyDescent="0.25">
      <c r="A42" s="52">
        <v>10000</v>
      </c>
      <c r="B42" s="134">
        <f>'Tab F4 - TOB Center Freq Calc'!O42</f>
        <v>-111.27846292618263</v>
      </c>
      <c r="C42" s="135" t="str">
        <f>IF(B42&gt;0,B42+(10*LOG('Tab F5 - TOB Factor Table'!B33))," ")</f>
        <v xml:space="preserve"> </v>
      </c>
      <c r="D42" s="144" t="str">
        <f t="shared" si="9"/>
        <v xml:space="preserve"> </v>
      </c>
      <c r="E42" s="149" t="str">
        <f>IF(B42&gt;0,'Tab F3 - Wtg Values Table'!B33," ")</f>
        <v xml:space="preserve"> </v>
      </c>
      <c r="F42" s="138" t="str">
        <f t="shared" si="10"/>
        <v xml:space="preserve"> </v>
      </c>
      <c r="G42" s="144" t="str">
        <f t="shared" si="11"/>
        <v xml:space="preserve"> </v>
      </c>
      <c r="H42" s="137"/>
      <c r="I42" s="139">
        <v>10000</v>
      </c>
      <c r="J42" s="134">
        <f>'Tab F4 - TOB Center Freq Calc'!O42</f>
        <v>-111.27846292618263</v>
      </c>
      <c r="K42" s="138" t="str">
        <f>IF(J42&gt;0,J42+(10*LOG('Tab F5 - TOB Factor Table'!B33))," ")</f>
        <v xml:space="preserve"> </v>
      </c>
      <c r="L42" s="143" t="str">
        <f t="shared" si="18"/>
        <v xml:space="preserve"> </v>
      </c>
      <c r="M42" s="147" t="str">
        <f>IF(J42&gt;0,'Tab F3 - Wtg Values Table'!C33," ")</f>
        <v xml:space="preserve"> </v>
      </c>
      <c r="N42" s="135" t="str">
        <f t="shared" si="19"/>
        <v xml:space="preserve"> </v>
      </c>
      <c r="O42" s="143" t="str">
        <f t="shared" si="20"/>
        <v xml:space="preserve"> </v>
      </c>
      <c r="P42" s="137"/>
      <c r="Q42" s="139">
        <v>10000</v>
      </c>
      <c r="R42" s="134">
        <f>'Tab F4 - TOB Center Freq Calc'!O42</f>
        <v>-111.27846292618263</v>
      </c>
      <c r="S42" s="138" t="str">
        <f>IF(R42&gt;0,R42+(10*LOG('Tab F5 - TOB Factor Table'!B33))," ")</f>
        <v xml:space="preserve"> </v>
      </c>
      <c r="T42" s="143" t="str">
        <f t="shared" si="21"/>
        <v xml:space="preserve"> </v>
      </c>
      <c r="U42" s="147" t="str">
        <f>IF(R42&gt;0,'Tab F3 - Wtg Values Table'!D33," ")</f>
        <v xml:space="preserve"> </v>
      </c>
      <c r="V42" s="135" t="str">
        <f t="shared" si="22"/>
        <v xml:space="preserve"> </v>
      </c>
      <c r="W42" s="143" t="str">
        <f t="shared" si="23"/>
        <v xml:space="preserve"> </v>
      </c>
      <c r="X42" s="137"/>
      <c r="Y42" s="139">
        <v>10000</v>
      </c>
      <c r="Z42" s="134">
        <f>'Tab F4 - TOB Center Freq Calc'!O42</f>
        <v>-111.27846292618263</v>
      </c>
      <c r="AA42" s="138" t="str">
        <f>IF(Z42&gt;0,Z42+(10*LOG('Tab F5 - TOB Factor Table'!B33))," ")</f>
        <v xml:space="preserve"> </v>
      </c>
      <c r="AB42" s="143" t="str">
        <f t="shared" si="12"/>
        <v xml:space="preserve"> </v>
      </c>
      <c r="AC42" s="147" t="str">
        <f>IF(Z42&gt;0,'Tab F3 - Wtg Values Table'!E33," ")</f>
        <v xml:space="preserve"> </v>
      </c>
      <c r="AD42" s="135" t="str">
        <f t="shared" si="13"/>
        <v xml:space="preserve"> </v>
      </c>
      <c r="AE42" s="143" t="str">
        <f t="shared" si="14"/>
        <v xml:space="preserve"> </v>
      </c>
      <c r="AF42" s="137"/>
      <c r="AG42" s="139">
        <v>10000</v>
      </c>
      <c r="AH42" s="134">
        <f>'Tab F4 - TOB Center Freq Calc'!O42</f>
        <v>-111.27846292618263</v>
      </c>
      <c r="AI42" s="138" t="str">
        <f>IF(AH42&gt;0,AH42+(10*LOG('Tab F5 - TOB Factor Table'!B33))," ")</f>
        <v xml:space="preserve"> </v>
      </c>
      <c r="AJ42" s="143" t="str">
        <f t="shared" si="17"/>
        <v xml:space="preserve"> </v>
      </c>
      <c r="AK42" s="147" t="str">
        <f>IF(AH42&gt;0,'Tab F3 - Wtg Values Table'!F33," ")</f>
        <v xml:space="preserve"> </v>
      </c>
      <c r="AL42" s="135" t="str">
        <f t="shared" si="15"/>
        <v xml:space="preserve"> </v>
      </c>
      <c r="AM42" s="143" t="str">
        <f t="shared" si="16"/>
        <v xml:space="preserve"> </v>
      </c>
      <c r="AO42" s="52">
        <v>10000</v>
      </c>
      <c r="AP42" s="134">
        <f>'Tab F4 - TOB Center Freq Calc'!O42</f>
        <v>-111.27846292618263</v>
      </c>
      <c r="AQ42" s="135" t="str">
        <f>IF(AP42&gt;0,AP42+(10*LOG('Tab F5 - TOB Factor Table'!B33))," ")</f>
        <v xml:space="preserve"> </v>
      </c>
      <c r="AR42" s="144" t="str">
        <f t="shared" si="8"/>
        <v xml:space="preserve"> </v>
      </c>
      <c r="AS42" s="147">
        <v>0</v>
      </c>
      <c r="AT42" s="138" t="str">
        <f t="shared" si="6"/>
        <v xml:space="preserve"> </v>
      </c>
      <c r="AU42" s="144" t="str">
        <f t="shared" si="7"/>
        <v xml:space="preserve"> </v>
      </c>
    </row>
    <row r="43" spans="1:47" ht="14.45" customHeight="1" x14ac:dyDescent="0.25">
      <c r="A43" s="52">
        <v>12500</v>
      </c>
      <c r="B43" s="134">
        <f>'Tab F4 - TOB Center Freq Calc'!O43</f>
        <v>-112.99782624806596</v>
      </c>
      <c r="C43" s="135" t="str">
        <f>IF(B43&gt;0,B43+(10*LOG('Tab F5 - TOB Factor Table'!B34))," ")</f>
        <v xml:space="preserve"> </v>
      </c>
      <c r="D43" s="144" t="str">
        <f t="shared" si="9"/>
        <v xml:space="preserve"> </v>
      </c>
      <c r="E43" s="149" t="str">
        <f>IF(B43&gt;0,'Tab F3 - Wtg Values Table'!B34," ")</f>
        <v xml:space="preserve"> </v>
      </c>
      <c r="F43" s="138" t="str">
        <f t="shared" si="10"/>
        <v xml:space="preserve"> </v>
      </c>
      <c r="G43" s="144" t="str">
        <f t="shared" si="11"/>
        <v xml:space="preserve"> </v>
      </c>
      <c r="H43" s="137"/>
      <c r="I43" s="139">
        <v>12500</v>
      </c>
      <c r="J43" s="134">
        <f>'Tab F4 - TOB Center Freq Calc'!O43</f>
        <v>-112.99782624806596</v>
      </c>
      <c r="K43" s="138" t="str">
        <f>IF(J43&gt;0,J43+(10*LOG('Tab F5 - TOB Factor Table'!B34))," ")</f>
        <v xml:space="preserve"> </v>
      </c>
      <c r="L43" s="143" t="str">
        <f t="shared" si="18"/>
        <v xml:space="preserve"> </v>
      </c>
      <c r="M43" s="147" t="str">
        <f>IF(J43&gt;0,'Tab F3 - Wtg Values Table'!C34," ")</f>
        <v xml:space="preserve"> </v>
      </c>
      <c r="N43" s="135" t="str">
        <f t="shared" si="19"/>
        <v xml:space="preserve"> </v>
      </c>
      <c r="O43" s="143" t="str">
        <f t="shared" si="20"/>
        <v xml:space="preserve"> </v>
      </c>
      <c r="P43" s="137"/>
      <c r="Q43" s="139">
        <v>12500</v>
      </c>
      <c r="R43" s="134">
        <f>'Tab F4 - TOB Center Freq Calc'!O43</f>
        <v>-112.99782624806596</v>
      </c>
      <c r="S43" s="138" t="str">
        <f>IF(R43&gt;0,R43+(10*LOG('Tab F5 - TOB Factor Table'!B34))," ")</f>
        <v xml:space="preserve"> </v>
      </c>
      <c r="T43" s="143" t="str">
        <f t="shared" si="21"/>
        <v xml:space="preserve"> </v>
      </c>
      <c r="U43" s="147" t="str">
        <f>IF(R43&gt;0,'Tab F3 - Wtg Values Table'!D34," ")</f>
        <v xml:space="preserve"> </v>
      </c>
      <c r="V43" s="135" t="str">
        <f t="shared" si="22"/>
        <v xml:space="preserve"> </v>
      </c>
      <c r="W43" s="143" t="str">
        <f t="shared" si="23"/>
        <v xml:space="preserve"> </v>
      </c>
      <c r="X43" s="137"/>
      <c r="Y43" s="139">
        <v>12500</v>
      </c>
      <c r="Z43" s="134">
        <f>'Tab F4 - TOB Center Freq Calc'!O43</f>
        <v>-112.99782624806596</v>
      </c>
      <c r="AA43" s="138" t="str">
        <f>IF(Z43&gt;0,Z43+(10*LOG('Tab F5 - TOB Factor Table'!B34))," ")</f>
        <v xml:space="preserve"> </v>
      </c>
      <c r="AB43" s="143" t="str">
        <f t="shared" si="12"/>
        <v xml:space="preserve"> </v>
      </c>
      <c r="AC43" s="147" t="str">
        <f>IF(Z43&gt;0,'Tab F3 - Wtg Values Table'!E34," ")</f>
        <v xml:space="preserve"> </v>
      </c>
      <c r="AD43" s="135" t="str">
        <f t="shared" si="13"/>
        <v xml:space="preserve"> </v>
      </c>
      <c r="AE43" s="143" t="str">
        <f t="shared" si="14"/>
        <v xml:space="preserve"> </v>
      </c>
      <c r="AF43" s="137"/>
      <c r="AG43" s="139">
        <v>12500</v>
      </c>
      <c r="AH43" s="134">
        <f>'Tab F4 - TOB Center Freq Calc'!O43</f>
        <v>-112.99782624806596</v>
      </c>
      <c r="AI43" s="138" t="str">
        <f>IF(AH43&gt;0,AH43+(10*LOG('Tab F5 - TOB Factor Table'!B34))," ")</f>
        <v xml:space="preserve"> </v>
      </c>
      <c r="AJ43" s="143" t="str">
        <f t="shared" si="17"/>
        <v xml:space="preserve"> </v>
      </c>
      <c r="AK43" s="147" t="str">
        <f>IF(AH43&gt;0,'Tab F3 - Wtg Values Table'!F34," ")</f>
        <v xml:space="preserve"> </v>
      </c>
      <c r="AL43" s="135" t="str">
        <f t="shared" si="15"/>
        <v xml:space="preserve"> </v>
      </c>
      <c r="AM43" s="143" t="str">
        <f t="shared" si="16"/>
        <v xml:space="preserve"> </v>
      </c>
      <c r="AO43" s="52">
        <v>12500</v>
      </c>
      <c r="AP43" s="134">
        <f>'Tab F4 - TOB Center Freq Calc'!O43</f>
        <v>-112.99782624806596</v>
      </c>
      <c r="AQ43" s="135" t="str">
        <f>IF(AP43&gt;0,AP43+(10*LOG('Tab F5 - TOB Factor Table'!B34))," ")</f>
        <v xml:space="preserve"> </v>
      </c>
      <c r="AR43" s="144" t="str">
        <f t="shared" si="8"/>
        <v xml:space="preserve"> </v>
      </c>
      <c r="AS43" s="147">
        <v>0</v>
      </c>
      <c r="AT43" s="138" t="str">
        <f t="shared" si="6"/>
        <v xml:space="preserve"> </v>
      </c>
      <c r="AU43" s="144" t="str">
        <f t="shared" si="7"/>
        <v xml:space="preserve"> </v>
      </c>
    </row>
    <row r="44" spans="1:47" ht="14.45" customHeight="1" x14ac:dyDescent="0.25">
      <c r="A44" s="52">
        <v>16000</v>
      </c>
      <c r="B44" s="134">
        <f>'Tab F4 - TOB Center Freq Calc'!O44</f>
        <v>-115.54592301791128</v>
      </c>
      <c r="C44" s="135" t="str">
        <f>IF(B44&gt;0,B44+(10*LOG('Tab F5 - TOB Factor Table'!B35))," ")</f>
        <v xml:space="preserve"> </v>
      </c>
      <c r="D44" s="144" t="str">
        <f t="shared" si="9"/>
        <v xml:space="preserve"> </v>
      </c>
      <c r="E44" s="149" t="str">
        <f>IF(B44&gt;0,'Tab F3 - Wtg Values Table'!B35," ")</f>
        <v xml:space="preserve"> </v>
      </c>
      <c r="F44" s="138" t="str">
        <f t="shared" si="10"/>
        <v xml:space="preserve"> </v>
      </c>
      <c r="G44" s="144" t="str">
        <f t="shared" si="11"/>
        <v xml:space="preserve"> </v>
      </c>
      <c r="H44" s="137"/>
      <c r="I44" s="139">
        <v>16000</v>
      </c>
      <c r="J44" s="134">
        <f>'Tab F4 - TOB Center Freq Calc'!O44</f>
        <v>-115.54592301791128</v>
      </c>
      <c r="K44" s="138" t="str">
        <f>IF(J44&gt;0,J44+(10*LOG('Tab F5 - TOB Factor Table'!B35))," ")</f>
        <v xml:space="preserve"> </v>
      </c>
      <c r="L44" s="143" t="str">
        <f t="shared" si="18"/>
        <v xml:space="preserve"> </v>
      </c>
      <c r="M44" s="147" t="str">
        <f>IF(J44&gt;0,'Tab F3 - Wtg Values Table'!C35," ")</f>
        <v xml:space="preserve"> </v>
      </c>
      <c r="N44" s="135" t="str">
        <f t="shared" si="19"/>
        <v xml:space="preserve"> </v>
      </c>
      <c r="O44" s="143" t="str">
        <f t="shared" si="20"/>
        <v xml:space="preserve"> </v>
      </c>
      <c r="P44" s="137"/>
      <c r="Q44" s="139">
        <v>16000</v>
      </c>
      <c r="R44" s="134">
        <f>'Tab F4 - TOB Center Freq Calc'!O44</f>
        <v>-115.54592301791128</v>
      </c>
      <c r="S44" s="138" t="str">
        <f>IF(R44&gt;0,R44+(10*LOG('Tab F5 - TOB Factor Table'!B35))," ")</f>
        <v xml:space="preserve"> </v>
      </c>
      <c r="T44" s="143" t="str">
        <f t="shared" si="21"/>
        <v xml:space="preserve"> </v>
      </c>
      <c r="U44" s="147" t="str">
        <f>IF(R44&gt;0,'Tab F3 - Wtg Values Table'!D35," ")</f>
        <v xml:space="preserve"> </v>
      </c>
      <c r="V44" s="135" t="str">
        <f t="shared" si="22"/>
        <v xml:space="preserve"> </v>
      </c>
      <c r="W44" s="143" t="str">
        <f t="shared" si="23"/>
        <v xml:space="preserve"> </v>
      </c>
      <c r="X44" s="137"/>
      <c r="Y44" s="139">
        <v>16000</v>
      </c>
      <c r="Z44" s="134">
        <f>'Tab F4 - TOB Center Freq Calc'!O44</f>
        <v>-115.54592301791128</v>
      </c>
      <c r="AA44" s="138" t="str">
        <f>IF(Z44&gt;0,Z44+(10*LOG('Tab F5 - TOB Factor Table'!B35))," ")</f>
        <v xml:space="preserve"> </v>
      </c>
      <c r="AB44" s="143" t="str">
        <f t="shared" si="12"/>
        <v xml:space="preserve"> </v>
      </c>
      <c r="AC44" s="147" t="str">
        <f>IF(Z44&gt;0,'Tab F3 - Wtg Values Table'!E35," ")</f>
        <v xml:space="preserve"> </v>
      </c>
      <c r="AD44" s="135" t="str">
        <f t="shared" si="13"/>
        <v xml:space="preserve"> </v>
      </c>
      <c r="AE44" s="143" t="str">
        <f t="shared" si="14"/>
        <v xml:space="preserve"> </v>
      </c>
      <c r="AF44" s="137"/>
      <c r="AG44" s="139">
        <v>16000</v>
      </c>
      <c r="AH44" s="134">
        <f>'Tab F4 - TOB Center Freq Calc'!O44</f>
        <v>-115.54592301791128</v>
      </c>
      <c r="AI44" s="138" t="str">
        <f>IF(AH44&gt;0,AH44+(10*LOG('Tab F5 - TOB Factor Table'!B35))," ")</f>
        <v xml:space="preserve"> </v>
      </c>
      <c r="AJ44" s="143" t="str">
        <f t="shared" si="17"/>
        <v xml:space="preserve"> </v>
      </c>
      <c r="AK44" s="147" t="str">
        <f>IF(AH44&gt;0,'Tab F3 - Wtg Values Table'!F35," ")</f>
        <v xml:space="preserve"> </v>
      </c>
      <c r="AL44" s="135" t="str">
        <f t="shared" si="15"/>
        <v xml:space="preserve"> </v>
      </c>
      <c r="AM44" s="143" t="str">
        <f t="shared" si="16"/>
        <v xml:space="preserve"> </v>
      </c>
      <c r="AO44" s="52">
        <v>16000</v>
      </c>
      <c r="AP44" s="134">
        <f>'Tab F4 - TOB Center Freq Calc'!O44</f>
        <v>-115.54592301791128</v>
      </c>
      <c r="AQ44" s="135" t="str">
        <f>IF(AP44&gt;0,AP44+(10*LOG('Tab F5 - TOB Factor Table'!B35))," ")</f>
        <v xml:space="preserve"> </v>
      </c>
      <c r="AR44" s="144" t="str">
        <f t="shared" si="8"/>
        <v xml:space="preserve"> </v>
      </c>
      <c r="AS44" s="147">
        <v>0</v>
      </c>
      <c r="AT44" s="138" t="str">
        <f t="shared" si="6"/>
        <v xml:space="preserve"> </v>
      </c>
      <c r="AU44" s="144" t="str">
        <f t="shared" si="7"/>
        <v xml:space="preserve"> </v>
      </c>
    </row>
    <row r="45" spans="1:47" ht="15" customHeight="1" thickBot="1" x14ac:dyDescent="0.3">
      <c r="A45" s="54">
        <v>20000</v>
      </c>
      <c r="B45" s="140">
        <f>'Tab F4 - TOB Center Freq Calc'!O45</f>
        <v>-116.93982398982401</v>
      </c>
      <c r="C45" s="141" t="str">
        <f>IF(B45&gt;0,B45+(10*LOG('Tab F5 - TOB Factor Table'!B36))," ")</f>
        <v xml:space="preserve"> </v>
      </c>
      <c r="D45" s="145" t="str">
        <f t="shared" si="9"/>
        <v xml:space="preserve"> </v>
      </c>
      <c r="E45" s="148" t="str">
        <f>IF(B45&gt;0,'Tab F3 - Wtg Values Table'!B36," ")</f>
        <v xml:space="preserve"> </v>
      </c>
      <c r="F45" s="141" t="str">
        <f t="shared" si="10"/>
        <v xml:space="preserve"> </v>
      </c>
      <c r="G45" s="145" t="str">
        <f t="shared" si="11"/>
        <v xml:space="preserve"> </v>
      </c>
      <c r="H45" s="137"/>
      <c r="I45" s="142">
        <v>20000</v>
      </c>
      <c r="J45" s="140">
        <f>'Tab F4 - TOB Center Freq Calc'!O45</f>
        <v>-116.93982398982401</v>
      </c>
      <c r="K45" s="141" t="str">
        <f>IF(J45&gt;0,J45+(10*LOG('Tab F5 - TOB Factor Table'!B36))," ")</f>
        <v xml:space="preserve"> </v>
      </c>
      <c r="L45" s="146" t="str">
        <f t="shared" si="18"/>
        <v xml:space="preserve"> </v>
      </c>
      <c r="M45" s="148" t="str">
        <f>IF(J45&gt;0,'Tab F3 - Wtg Values Table'!C36," ")</f>
        <v xml:space="preserve"> </v>
      </c>
      <c r="N45" s="141" t="str">
        <f t="shared" si="19"/>
        <v xml:space="preserve"> </v>
      </c>
      <c r="O45" s="145" t="str">
        <f t="shared" si="20"/>
        <v xml:space="preserve"> </v>
      </c>
      <c r="P45" s="137"/>
      <c r="Q45" s="142">
        <v>20000</v>
      </c>
      <c r="R45" s="140">
        <f>'Tab F4 - TOB Center Freq Calc'!O45</f>
        <v>-116.93982398982401</v>
      </c>
      <c r="S45" s="141" t="str">
        <f>IF(R45&gt;0,R45+(10*LOG('Tab F5 - TOB Factor Table'!B36))," ")</f>
        <v xml:space="preserve"> </v>
      </c>
      <c r="T45" s="146" t="str">
        <f t="shared" si="21"/>
        <v xml:space="preserve"> </v>
      </c>
      <c r="U45" s="148" t="str">
        <f>IF(R45&gt;0,'Tab F3 - Wtg Values Table'!D36," ")</f>
        <v xml:space="preserve"> </v>
      </c>
      <c r="V45" s="141" t="str">
        <f t="shared" si="22"/>
        <v xml:space="preserve"> </v>
      </c>
      <c r="W45" s="145" t="str">
        <f t="shared" si="23"/>
        <v xml:space="preserve"> </v>
      </c>
      <c r="X45" s="137"/>
      <c r="Y45" s="142">
        <v>20000</v>
      </c>
      <c r="Z45" s="140">
        <f>'Tab F4 - TOB Center Freq Calc'!O45</f>
        <v>-116.93982398982401</v>
      </c>
      <c r="AA45" s="141" t="str">
        <f>IF(Z45&gt;0,Z45+(10*LOG('Tab F5 - TOB Factor Table'!B36))," ")</f>
        <v xml:space="preserve"> </v>
      </c>
      <c r="AB45" s="146" t="str">
        <f t="shared" si="12"/>
        <v xml:space="preserve"> </v>
      </c>
      <c r="AC45" s="148" t="str">
        <f>IF(Z45&gt;0,'Tab F3 - Wtg Values Table'!E36," ")</f>
        <v xml:space="preserve"> </v>
      </c>
      <c r="AD45" s="141" t="str">
        <f t="shared" si="13"/>
        <v xml:space="preserve"> </v>
      </c>
      <c r="AE45" s="145" t="str">
        <f t="shared" si="14"/>
        <v xml:space="preserve"> </v>
      </c>
      <c r="AF45" s="137"/>
      <c r="AG45" s="142">
        <v>20000</v>
      </c>
      <c r="AH45" s="140">
        <f>'Tab F4 - TOB Center Freq Calc'!O45</f>
        <v>-116.93982398982401</v>
      </c>
      <c r="AI45" s="141" t="str">
        <f>IF(AH45&gt;0,AH45+(10*LOG('Tab F5 - TOB Factor Table'!B36))," ")</f>
        <v xml:space="preserve"> </v>
      </c>
      <c r="AJ45" s="146" t="str">
        <f t="shared" si="17"/>
        <v xml:space="preserve"> </v>
      </c>
      <c r="AK45" s="148" t="str">
        <f>IF(AH45&gt;0,'Tab F3 - Wtg Values Table'!F36," ")</f>
        <v xml:space="preserve"> </v>
      </c>
      <c r="AL45" s="141" t="str">
        <f t="shared" si="15"/>
        <v xml:space="preserve"> </v>
      </c>
      <c r="AM45" s="145" t="str">
        <f t="shared" si="16"/>
        <v xml:space="preserve"> </v>
      </c>
      <c r="AO45" s="54">
        <v>20000</v>
      </c>
      <c r="AP45" s="140">
        <f>'Tab F4 - TOB Center Freq Calc'!O45</f>
        <v>-116.93982398982401</v>
      </c>
      <c r="AQ45" s="141" t="str">
        <f>IF(AP45&gt;0,AP45+(10*LOG('Tab F5 - TOB Factor Table'!B36))," ")</f>
        <v xml:space="preserve"> </v>
      </c>
      <c r="AR45" s="145" t="str">
        <f t="shared" si="8"/>
        <v xml:space="preserve"> </v>
      </c>
      <c r="AS45" s="148">
        <v>0</v>
      </c>
      <c r="AT45" s="141" t="str">
        <f t="shared" si="6"/>
        <v xml:space="preserve"> </v>
      </c>
      <c r="AU45" s="145" t="str">
        <f t="shared" si="7"/>
        <v xml:space="preserve"> </v>
      </c>
    </row>
    <row r="46" spans="1:47" ht="15.75" thickTop="1" x14ac:dyDescent="0.25">
      <c r="C46" s="55" t="s">
        <v>82</v>
      </c>
      <c r="D46" s="110" t="str">
        <f>IF(SUM(B11:B45)&gt;0,SUM(D11:D45)," ")</f>
        <v xml:space="preserve"> </v>
      </c>
      <c r="E46" s="55"/>
      <c r="F46" s="55" t="s">
        <v>83</v>
      </c>
      <c r="G46" s="110" t="str">
        <f>IF(SUM(B11:B45)&gt;0, SUM(G11:G45)," ")</f>
        <v xml:space="preserve"> </v>
      </c>
      <c r="K46" s="55" t="s">
        <v>82</v>
      </c>
      <c r="L46" s="110" t="str">
        <f>IF(SUM(J24:J45)&gt;0,SUM(L24:L45)," ")</f>
        <v xml:space="preserve"> </v>
      </c>
      <c r="M46" s="55"/>
      <c r="N46" s="55" t="s">
        <v>83</v>
      </c>
      <c r="O46" s="110" t="str">
        <f>IF(SUM(J11:J45)&gt;0,SUM(O24:O45)," ")</f>
        <v xml:space="preserve"> </v>
      </c>
      <c r="S46" s="55" t="s">
        <v>82</v>
      </c>
      <c r="T46" s="110" t="str">
        <f>IF(SUM(R27:R45)&gt;0,SUM(T27:T45)," ")</f>
        <v xml:space="preserve"> </v>
      </c>
      <c r="U46" s="55"/>
      <c r="V46" s="55" t="s">
        <v>83</v>
      </c>
      <c r="W46" s="110" t="str">
        <f>IF(SUM(R27:R45)&gt;0,SUM(W27:W45)," ")</f>
        <v xml:space="preserve"> </v>
      </c>
      <c r="AA46" s="55" t="s">
        <v>82</v>
      </c>
      <c r="AB46" s="110" t="str">
        <f>IF(SUM(Z19:Z45)&gt;0,SUM(AB19:AB45)," ")</f>
        <v xml:space="preserve"> </v>
      </c>
      <c r="AC46" s="55"/>
      <c r="AD46" s="55" t="s">
        <v>83</v>
      </c>
      <c r="AE46" s="110" t="str">
        <f>IF(SUM(Z11:Z45)&gt;0,SUM(AE19:AE45)," ")</f>
        <v xml:space="preserve"> </v>
      </c>
      <c r="AI46" s="55" t="s">
        <v>82</v>
      </c>
      <c r="AJ46" s="110" t="str">
        <f>IF(SUM(AH20:AH45)&gt;0,SUM(AJ20:AJ45)," ")</f>
        <v xml:space="preserve"> </v>
      </c>
      <c r="AK46" s="55"/>
      <c r="AL46" s="55" t="s">
        <v>83</v>
      </c>
      <c r="AM46" s="110" t="str">
        <f>IF(SUM(AH20:AH45)&gt;0,SUM(AM20:AM45)," ")</f>
        <v xml:space="preserve"> </v>
      </c>
      <c r="AQ46" s="55" t="s">
        <v>82</v>
      </c>
      <c r="AR46" s="110" t="str">
        <f>IF(SUM(AP4:AP45)&gt;0,SUM(AR4:AR45)," ")</f>
        <v xml:space="preserve"> </v>
      </c>
      <c r="AS46" s="55"/>
      <c r="AT46" s="55" t="s">
        <v>83</v>
      </c>
      <c r="AU46" s="110" t="str">
        <f>IF(SUM(AP4:AP45)&gt;0, SUM(AU4:AU45)," ")</f>
        <v xml:space="preserve"> </v>
      </c>
    </row>
    <row r="47" spans="1:47" x14ac:dyDescent="0.25">
      <c r="C47" s="55"/>
      <c r="D47" s="56"/>
      <c r="F47" s="55"/>
      <c r="G47" s="111"/>
      <c r="K47" s="55"/>
      <c r="L47" s="111"/>
      <c r="N47" s="55"/>
      <c r="O47" s="56"/>
      <c r="S47" s="55"/>
      <c r="T47" s="111"/>
      <c r="V47" s="55"/>
      <c r="W47" s="111"/>
      <c r="AA47" s="55"/>
      <c r="AB47" s="111"/>
      <c r="AD47" s="55"/>
      <c r="AE47" s="111"/>
      <c r="AI47" s="55"/>
      <c r="AJ47" s="111"/>
      <c r="AL47" s="55"/>
      <c r="AM47" s="111"/>
      <c r="AQ47" s="55"/>
      <c r="AR47" s="56"/>
      <c r="AT47" s="55"/>
      <c r="AU47" s="111"/>
    </row>
    <row r="48" spans="1:47" ht="45" x14ac:dyDescent="0.25">
      <c r="C48" s="57" t="s">
        <v>77</v>
      </c>
      <c r="D48" s="150">
        <f>'Tab F4 - TOB Center Freq Calc'!R3</f>
        <v>-22</v>
      </c>
      <c r="F48" s="57" t="s">
        <v>78</v>
      </c>
      <c r="G48" s="150" t="e">
        <f>10*LOG10(G46)</f>
        <v>#VALUE!</v>
      </c>
      <c r="K48" s="57" t="s">
        <v>77</v>
      </c>
      <c r="L48" s="150">
        <f>'Tab F4 - TOB Center Freq Calc'!R3</f>
        <v>-22</v>
      </c>
      <c r="N48" s="57" t="s">
        <v>78</v>
      </c>
      <c r="O48" s="150" t="e">
        <f>10*LOG10(O46)</f>
        <v>#VALUE!</v>
      </c>
      <c r="S48" s="57" t="s">
        <v>77</v>
      </c>
      <c r="T48" s="150">
        <f>'Tab F4 - TOB Center Freq Calc'!R3</f>
        <v>-22</v>
      </c>
      <c r="V48" s="57" t="s">
        <v>78</v>
      </c>
      <c r="W48" s="150" t="e">
        <f>10*LOG10(W46)</f>
        <v>#VALUE!</v>
      </c>
      <c r="AA48" s="57" t="s">
        <v>77</v>
      </c>
      <c r="AB48" s="150">
        <f>'Tab F4 - TOB Center Freq Calc'!R3</f>
        <v>-22</v>
      </c>
      <c r="AD48" s="57" t="s">
        <v>78</v>
      </c>
      <c r="AE48" s="150" t="e">
        <f>10*LOG10(AE46)</f>
        <v>#VALUE!</v>
      </c>
      <c r="AI48" s="57" t="s">
        <v>77</v>
      </c>
      <c r="AJ48" s="150">
        <f>'Tab F4 - TOB Center Freq Calc'!R3</f>
        <v>-22</v>
      </c>
      <c r="AL48" s="57" t="s">
        <v>78</v>
      </c>
      <c r="AM48" s="150" t="e">
        <f>10*LOG10(AM46)</f>
        <v>#VALUE!</v>
      </c>
      <c r="AQ48" s="57" t="s">
        <v>77</v>
      </c>
      <c r="AR48" s="150">
        <f>'Tab F4 - TOB Center Freq Calc'!R3</f>
        <v>-22</v>
      </c>
      <c r="AT48" s="57" t="s">
        <v>78</v>
      </c>
      <c r="AU48" s="150">
        <f>'Tab F4 - TOB Center Freq Calc'!R3</f>
        <v>-22</v>
      </c>
    </row>
  </sheetData>
  <sheetProtection algorithmName="SHA-512" hashValue="2Ld09IQc3kXrk+4MsmwL6NmJbyjx2He4yRXnRYecV9tVYCqkTvNsIKfNbaKdLFXc66al7C8NSdPYMSmv67k5pw==" saltValue="Gp3nkvTkZcyuWjYEHkjC7g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E36" sqref="E36"/>
    </sheetView>
  </sheetViews>
  <sheetFormatPr defaultRowHeight="15" x14ac:dyDescent="0.25"/>
  <cols>
    <col min="2" max="2" width="10.42578125" customWidth="1"/>
    <col min="3" max="3" width="10.85546875" customWidth="1"/>
    <col min="4" max="4" width="12.140625" customWidth="1"/>
    <col min="5" max="5" width="12.42578125" customWidth="1"/>
    <col min="6" max="6" width="12" customWidth="1"/>
  </cols>
  <sheetData>
    <row r="1" spans="1:6" ht="27" thickTop="1" thickBot="1" x14ac:dyDescent="0.3">
      <c r="A1" s="60" t="s">
        <v>69</v>
      </c>
      <c r="B1" s="61" t="s">
        <v>70</v>
      </c>
      <c r="C1" s="61" t="s">
        <v>71</v>
      </c>
      <c r="D1" s="61" t="s">
        <v>72</v>
      </c>
      <c r="E1" s="61" t="s">
        <v>73</v>
      </c>
      <c r="F1" s="62" t="s">
        <v>74</v>
      </c>
    </row>
    <row r="2" spans="1:6" ht="15.75" thickBot="1" x14ac:dyDescent="0.3">
      <c r="A2" s="63">
        <v>8</v>
      </c>
      <c r="B2" s="64">
        <v>-27.84</v>
      </c>
      <c r="C2" s="64">
        <v>-96.12</v>
      </c>
      <c r="D2" s="64">
        <v>-112.98</v>
      </c>
      <c r="E2" s="64">
        <v>-46.76</v>
      </c>
      <c r="F2" s="65">
        <v>-82.16</v>
      </c>
    </row>
    <row r="3" spans="1:6" ht="15.75" thickBot="1" x14ac:dyDescent="0.3">
      <c r="A3" s="66">
        <v>10</v>
      </c>
      <c r="B3" s="67">
        <v>-25.9</v>
      </c>
      <c r="C3" s="67">
        <v>-93.02</v>
      </c>
      <c r="D3" s="67">
        <v>-109.49</v>
      </c>
      <c r="E3" s="67">
        <v>-44.83</v>
      </c>
      <c r="F3" s="68">
        <v>-78.290000000000006</v>
      </c>
    </row>
    <row r="4" spans="1:6" ht="15.75" thickBot="1" x14ac:dyDescent="0.3">
      <c r="A4" s="63">
        <v>12.5</v>
      </c>
      <c r="B4" s="64">
        <v>-23.97</v>
      </c>
      <c r="C4" s="64">
        <v>-89.92</v>
      </c>
      <c r="D4" s="64">
        <v>-106</v>
      </c>
      <c r="E4" s="64">
        <v>-42.89</v>
      </c>
      <c r="F4" s="65">
        <v>-74.41</v>
      </c>
    </row>
    <row r="5" spans="1:6" ht="15.75" thickBot="1" x14ac:dyDescent="0.3">
      <c r="A5" s="66">
        <v>16</v>
      </c>
      <c r="B5" s="67">
        <v>-21.84</v>
      </c>
      <c r="C5" s="67">
        <v>-86.49</v>
      </c>
      <c r="D5" s="67">
        <v>-102.14</v>
      </c>
      <c r="E5" s="67">
        <v>-40.74</v>
      </c>
      <c r="F5" s="68">
        <v>-70.12</v>
      </c>
    </row>
    <row r="6" spans="1:6" ht="15.75" thickBot="1" x14ac:dyDescent="0.3">
      <c r="A6" s="63">
        <v>20</v>
      </c>
      <c r="B6" s="64">
        <v>-19.91</v>
      </c>
      <c r="C6" s="64">
        <v>-83.39</v>
      </c>
      <c r="D6" s="64">
        <v>-98.65</v>
      </c>
      <c r="E6" s="64">
        <v>-38.799999999999997</v>
      </c>
      <c r="F6" s="65">
        <v>-66.25</v>
      </c>
    </row>
    <row r="7" spans="1:6" ht="15.75" thickBot="1" x14ac:dyDescent="0.3">
      <c r="A7" s="66">
        <v>25</v>
      </c>
      <c r="B7" s="67">
        <v>-18</v>
      </c>
      <c r="C7" s="67">
        <v>-80.290000000000006</v>
      </c>
      <c r="D7" s="67">
        <v>-95.16</v>
      </c>
      <c r="E7" s="67">
        <v>-36.869999999999997</v>
      </c>
      <c r="F7" s="68">
        <v>-62.37</v>
      </c>
    </row>
    <row r="8" spans="1:6" ht="15.75" thickBot="1" x14ac:dyDescent="0.3">
      <c r="A8" s="63">
        <v>31.5</v>
      </c>
      <c r="B8" s="64">
        <v>-16.03</v>
      </c>
      <c r="C8" s="64">
        <v>-77.08</v>
      </c>
      <c r="D8" s="64">
        <v>-91.55</v>
      </c>
      <c r="E8" s="64">
        <v>-34.86</v>
      </c>
      <c r="F8" s="65">
        <v>-58.36</v>
      </c>
    </row>
    <row r="9" spans="1:6" ht="15.75" thickBot="1" x14ac:dyDescent="0.3">
      <c r="A9" s="66">
        <v>40</v>
      </c>
      <c r="B9" s="67">
        <v>-14.02</v>
      </c>
      <c r="C9" s="67">
        <v>-73.760000000000005</v>
      </c>
      <c r="D9" s="67">
        <v>-87.82</v>
      </c>
      <c r="E9" s="67">
        <v>-32.79</v>
      </c>
      <c r="F9" s="68">
        <v>-54.22</v>
      </c>
    </row>
    <row r="10" spans="1:6" ht="15.75" thickBot="1" x14ac:dyDescent="0.3">
      <c r="A10" s="63">
        <v>50</v>
      </c>
      <c r="B10" s="64">
        <v>-12.17</v>
      </c>
      <c r="C10" s="64">
        <v>-70.66</v>
      </c>
      <c r="D10" s="64">
        <v>-84.33</v>
      </c>
      <c r="E10" s="64">
        <v>-30.85</v>
      </c>
      <c r="F10" s="65">
        <v>-50.35</v>
      </c>
    </row>
    <row r="11" spans="1:6" ht="15.75" thickBot="1" x14ac:dyDescent="0.3">
      <c r="A11" s="66">
        <v>63</v>
      </c>
      <c r="B11" s="67">
        <v>-10.31</v>
      </c>
      <c r="C11" s="67">
        <v>-67.44</v>
      </c>
      <c r="D11" s="67">
        <v>-80.709999999999994</v>
      </c>
      <c r="E11" s="67">
        <v>-28.84</v>
      </c>
      <c r="F11" s="68">
        <v>-46.35</v>
      </c>
    </row>
    <row r="12" spans="1:6" ht="15.75" thickBot="1" x14ac:dyDescent="0.3">
      <c r="A12" s="63">
        <v>80</v>
      </c>
      <c r="B12" s="64">
        <v>-8.4700000000000006</v>
      </c>
      <c r="C12" s="64">
        <v>-64.13</v>
      </c>
      <c r="D12" s="64">
        <v>-76.98</v>
      </c>
      <c r="E12" s="64">
        <v>-26.77</v>
      </c>
      <c r="F12" s="65">
        <v>-42.22</v>
      </c>
    </row>
    <row r="13" spans="1:6" ht="15.75" thickBot="1" x14ac:dyDescent="0.3">
      <c r="A13" s="66">
        <v>100</v>
      </c>
      <c r="B13" s="67">
        <v>-6.86</v>
      </c>
      <c r="C13" s="67">
        <v>-61.02</v>
      </c>
      <c r="D13" s="67">
        <v>-73.489999999999995</v>
      </c>
      <c r="E13" s="67">
        <v>-24.84</v>
      </c>
      <c r="F13" s="68">
        <v>-38.380000000000003</v>
      </c>
    </row>
    <row r="14" spans="1:6" ht="15.75" thickBot="1" x14ac:dyDescent="0.3">
      <c r="A14" s="69">
        <v>125</v>
      </c>
      <c r="B14" s="70">
        <v>-5.38</v>
      </c>
      <c r="C14" s="70">
        <v>-57.92</v>
      </c>
      <c r="D14" s="70">
        <v>-70</v>
      </c>
      <c r="E14" s="70">
        <v>-22.91</v>
      </c>
      <c r="F14" s="131">
        <v>-34.56</v>
      </c>
    </row>
    <row r="15" spans="1:6" ht="16.5" thickTop="1" thickBot="1" x14ac:dyDescent="0.3">
      <c r="A15" s="71">
        <v>160</v>
      </c>
      <c r="B15" s="72">
        <v>-3.96</v>
      </c>
      <c r="C15" s="72">
        <v>-54.49</v>
      </c>
      <c r="D15" s="72">
        <v>-66.14</v>
      </c>
      <c r="E15" s="72">
        <v>-20.77</v>
      </c>
      <c r="F15" s="132">
        <v>-30.37</v>
      </c>
    </row>
    <row r="16" spans="1:6" ht="16.5" thickTop="1" thickBot="1" x14ac:dyDescent="0.3">
      <c r="A16" s="69">
        <v>200</v>
      </c>
      <c r="B16" s="70">
        <v>-2.88</v>
      </c>
      <c r="C16" s="70">
        <v>-51.39</v>
      </c>
      <c r="D16" s="70">
        <v>-62.66</v>
      </c>
      <c r="E16" s="70">
        <v>-18.850000000000001</v>
      </c>
      <c r="F16" s="131">
        <v>-26.63</v>
      </c>
    </row>
    <row r="17" spans="1:6" ht="16.5" thickTop="1" thickBot="1" x14ac:dyDescent="0.3">
      <c r="A17" s="73">
        <v>250</v>
      </c>
      <c r="B17" s="74">
        <v>-2.02</v>
      </c>
      <c r="C17" s="74">
        <v>-48.3</v>
      </c>
      <c r="D17" s="74">
        <v>-59.17</v>
      </c>
      <c r="E17" s="74">
        <v>-16.940000000000001</v>
      </c>
      <c r="F17" s="133">
        <v>-22.96</v>
      </c>
    </row>
    <row r="18" spans="1:6" ht="16.5" thickTop="1" thickBot="1" x14ac:dyDescent="0.3">
      <c r="A18" s="69">
        <v>315</v>
      </c>
      <c r="B18" s="70">
        <v>-1.34</v>
      </c>
      <c r="C18" s="70">
        <v>-45.09</v>
      </c>
      <c r="D18" s="70">
        <v>-55.56</v>
      </c>
      <c r="E18" s="70">
        <v>-14.98</v>
      </c>
      <c r="F18" s="131">
        <v>-19.28</v>
      </c>
    </row>
    <row r="19" spans="1:6" ht="16.5" thickTop="1" thickBot="1" x14ac:dyDescent="0.3">
      <c r="A19" s="73">
        <v>400</v>
      </c>
      <c r="B19" s="74">
        <v>-0.84</v>
      </c>
      <c r="C19" s="74">
        <v>-41.77</v>
      </c>
      <c r="D19" s="74">
        <v>-51.83</v>
      </c>
      <c r="E19" s="74">
        <v>-12.97</v>
      </c>
      <c r="F19" s="133">
        <v>-15.65</v>
      </c>
    </row>
    <row r="20" spans="1:6" ht="16.5" thickTop="1" thickBot="1" x14ac:dyDescent="0.3">
      <c r="A20" s="69">
        <v>500</v>
      </c>
      <c r="B20" s="70">
        <v>-0.52</v>
      </c>
      <c r="C20" s="70">
        <v>-38.68</v>
      </c>
      <c r="D20" s="70">
        <v>-48.34</v>
      </c>
      <c r="E20" s="70">
        <v>-11.14</v>
      </c>
      <c r="F20" s="131">
        <v>-12.49</v>
      </c>
    </row>
    <row r="21" spans="1:6" ht="16.5" thickTop="1" thickBot="1" x14ac:dyDescent="0.3">
      <c r="A21" s="73">
        <v>630</v>
      </c>
      <c r="B21" s="74">
        <v>-0.3</v>
      </c>
      <c r="C21" s="74">
        <v>-35.479999999999997</v>
      </c>
      <c r="D21" s="74">
        <v>-44.74</v>
      </c>
      <c r="E21" s="74">
        <v>-9.3000000000000007</v>
      </c>
      <c r="F21" s="133">
        <v>-9.5399999999999991</v>
      </c>
    </row>
    <row r="22" spans="1:6" ht="16.5" thickTop="1" thickBot="1" x14ac:dyDescent="0.3">
      <c r="A22" s="69">
        <v>800</v>
      </c>
      <c r="B22" s="70">
        <v>-0.15</v>
      </c>
      <c r="C22" s="70">
        <v>-32.18</v>
      </c>
      <c r="D22" s="70">
        <v>-41.01</v>
      </c>
      <c r="E22" s="70">
        <v>-7.48</v>
      </c>
      <c r="F22" s="131">
        <v>-6.9</v>
      </c>
    </row>
    <row r="23" spans="1:6" ht="16.5" thickTop="1" thickBot="1" x14ac:dyDescent="0.3">
      <c r="A23" s="73">
        <v>1000</v>
      </c>
      <c r="B23" s="74">
        <v>-0.06</v>
      </c>
      <c r="C23" s="74">
        <v>-29.11</v>
      </c>
      <c r="D23" s="74">
        <v>-37.549999999999997</v>
      </c>
      <c r="E23" s="74">
        <v>-5.9</v>
      </c>
      <c r="F23" s="133">
        <v>-4.87</v>
      </c>
    </row>
    <row r="24" spans="1:6" ht="16.5" thickTop="1" thickBot="1" x14ac:dyDescent="0.3">
      <c r="A24" s="69">
        <v>1250</v>
      </c>
      <c r="B24" s="70">
        <v>-0.02</v>
      </c>
      <c r="C24" s="70">
        <v>-26.06</v>
      </c>
      <c r="D24" s="70">
        <v>-34.090000000000003</v>
      </c>
      <c r="E24" s="70">
        <v>-4.46</v>
      </c>
      <c r="F24" s="131">
        <v>-3.27</v>
      </c>
    </row>
    <row r="25" spans="1:6" ht="16.5" thickTop="1" thickBot="1" x14ac:dyDescent="0.3">
      <c r="A25" s="73">
        <v>1600</v>
      </c>
      <c r="B25" s="74">
        <v>0</v>
      </c>
      <c r="C25" s="74">
        <v>-22.72</v>
      </c>
      <c r="D25" s="74">
        <v>-30.28</v>
      </c>
      <c r="E25" s="74">
        <v>-3.1</v>
      </c>
      <c r="F25" s="133">
        <v>-1.97</v>
      </c>
    </row>
    <row r="26" spans="1:6" ht="16.5" thickTop="1" thickBot="1" x14ac:dyDescent="0.3">
      <c r="A26" s="69">
        <v>2000</v>
      </c>
      <c r="B26" s="70">
        <v>-0.01</v>
      </c>
      <c r="C26" s="70">
        <v>-19.739999999999998</v>
      </c>
      <c r="D26" s="70">
        <v>-26.87</v>
      </c>
      <c r="E26" s="70">
        <v>-2.08</v>
      </c>
      <c r="F26" s="131">
        <v>-1.1499999999999999</v>
      </c>
    </row>
    <row r="27" spans="1:6" ht="16.5" thickTop="1" thickBot="1" x14ac:dyDescent="0.3">
      <c r="A27" s="73">
        <v>2500</v>
      </c>
      <c r="B27" s="74">
        <v>-0.05</v>
      </c>
      <c r="C27" s="74">
        <v>-16.829999999999998</v>
      </c>
      <c r="D27" s="74">
        <v>-23.5</v>
      </c>
      <c r="E27" s="74">
        <v>-1.29</v>
      </c>
      <c r="F27" s="133">
        <v>-0.6</v>
      </c>
    </row>
    <row r="28" spans="1:6" ht="16.5" thickTop="1" thickBot="1" x14ac:dyDescent="0.3">
      <c r="A28" s="69">
        <v>3150</v>
      </c>
      <c r="B28" s="70">
        <v>-0.12</v>
      </c>
      <c r="C28" s="70">
        <v>-13.92</v>
      </c>
      <c r="D28" s="70">
        <v>-20.079999999999998</v>
      </c>
      <c r="E28" s="70">
        <v>-0.69</v>
      </c>
      <c r="F28" s="131">
        <v>-0.24</v>
      </c>
    </row>
    <row r="29" spans="1:6" ht="16.5" thickTop="1" thickBot="1" x14ac:dyDescent="0.3">
      <c r="A29" s="73">
        <v>4000</v>
      </c>
      <c r="B29" s="74">
        <v>-0.26</v>
      </c>
      <c r="C29" s="74">
        <v>-11.07</v>
      </c>
      <c r="D29" s="74">
        <v>-16.649999999999999</v>
      </c>
      <c r="E29" s="74">
        <v>-0.28999999999999998</v>
      </c>
      <c r="F29" s="133">
        <v>-0.05</v>
      </c>
    </row>
    <row r="30" spans="1:6" ht="16.5" thickTop="1" thickBot="1" x14ac:dyDescent="0.3">
      <c r="A30" s="69">
        <v>5000</v>
      </c>
      <c r="B30" s="70">
        <v>-0.46</v>
      </c>
      <c r="C30" s="70">
        <v>-8.6199999999999992</v>
      </c>
      <c r="D30" s="70">
        <v>-13.59</v>
      </c>
      <c r="E30" s="70">
        <v>-7.0000000000000007E-2</v>
      </c>
      <c r="F30" s="131">
        <v>0</v>
      </c>
    </row>
    <row r="31" spans="1:6" ht="16.5" thickTop="1" thickBot="1" x14ac:dyDescent="0.3">
      <c r="A31" s="73">
        <v>6300</v>
      </c>
      <c r="B31" s="74">
        <v>-0.78</v>
      </c>
      <c r="C31" s="74">
        <v>-6.35</v>
      </c>
      <c r="D31" s="74">
        <v>-10.63</v>
      </c>
      <c r="E31" s="74">
        <v>0</v>
      </c>
      <c r="F31" s="133">
        <v>-0.09</v>
      </c>
    </row>
    <row r="32" spans="1:6" ht="16.5" thickTop="1" thickBot="1" x14ac:dyDescent="0.3">
      <c r="A32" s="69">
        <v>8000</v>
      </c>
      <c r="B32" s="70">
        <v>-1.29</v>
      </c>
      <c r="C32" s="70">
        <v>-4.3600000000000003</v>
      </c>
      <c r="D32" s="70">
        <v>-7.88</v>
      </c>
      <c r="E32" s="70">
        <v>-0.09</v>
      </c>
      <c r="F32" s="131">
        <v>-0.33</v>
      </c>
    </row>
    <row r="33" spans="1:6" ht="16.5" thickTop="1" thickBot="1" x14ac:dyDescent="0.3">
      <c r="A33" s="73">
        <v>10000</v>
      </c>
      <c r="B33" s="74">
        <v>-2</v>
      </c>
      <c r="C33" s="74">
        <v>-2.86</v>
      </c>
      <c r="D33" s="74">
        <v>-5.66</v>
      </c>
      <c r="E33" s="74">
        <v>-0.32</v>
      </c>
      <c r="F33" s="133">
        <v>-0.73</v>
      </c>
    </row>
    <row r="34" spans="1:6" ht="16.5" thickTop="1" thickBot="1" x14ac:dyDescent="0.3">
      <c r="A34" s="69">
        <v>12500</v>
      </c>
      <c r="B34" s="70">
        <v>-2.99</v>
      </c>
      <c r="C34" s="70">
        <v>-1.71</v>
      </c>
      <c r="D34" s="70">
        <v>-3.81</v>
      </c>
      <c r="E34" s="70">
        <v>-0.74</v>
      </c>
      <c r="F34" s="131">
        <v>-1.35</v>
      </c>
    </row>
    <row r="35" spans="1:6" ht="16.5" thickTop="1" thickBot="1" x14ac:dyDescent="0.3">
      <c r="A35" s="73">
        <v>16000</v>
      </c>
      <c r="B35" s="74">
        <v>-4.53</v>
      </c>
      <c r="C35" s="74">
        <v>-0.82</v>
      </c>
      <c r="D35" s="74">
        <v>-2.2400000000000002</v>
      </c>
      <c r="E35" s="74">
        <v>-1.49</v>
      </c>
      <c r="F35" s="133">
        <v>-2.37</v>
      </c>
    </row>
    <row r="36" spans="1:6" ht="16.5" thickTop="1" thickBot="1" x14ac:dyDescent="0.3">
      <c r="A36" s="69">
        <v>20000</v>
      </c>
      <c r="B36" s="70">
        <v>-6.35</v>
      </c>
      <c r="C36" s="70">
        <v>-0.31</v>
      </c>
      <c r="D36" s="70">
        <v>-1.22</v>
      </c>
      <c r="E36" s="70">
        <v>-2.48</v>
      </c>
      <c r="F36" s="131">
        <v>-3.68</v>
      </c>
    </row>
    <row r="37" spans="1:6" ht="15.75" thickTop="1" x14ac:dyDescent="0.25"/>
  </sheetData>
  <sheetProtection algorithmName="SHA-512" hashValue="WE02/ir1L/6cG8bSL8uR7b0QeLGDCY0EdHj0uUQpBXsb1w8ae5aJYpkty8KS2WU65KyTVnWKRQxMGhiABFVwbw==" saltValue="GlpV3TEA8s0PPDMF+BgfWA==" spinCount="100000" sheet="1" objects="1" scenarios="1" selectLockedCells="1" selectUnlockedCells="1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zoomScale="80" zoomScaleNormal="80" workbookViewId="0">
      <selection activeCell="O4" sqref="O4:O45"/>
    </sheetView>
  </sheetViews>
  <sheetFormatPr defaultRowHeight="15" x14ac:dyDescent="0.25"/>
  <cols>
    <col min="1" max="1" width="9.5703125" customWidth="1"/>
    <col min="6" max="6" width="11.5703125" customWidth="1"/>
    <col min="7" max="7" width="11.85546875" customWidth="1"/>
    <col min="8" max="8" width="11.42578125" customWidth="1"/>
    <col min="12" max="12" width="11.85546875" customWidth="1"/>
    <col min="13" max="13" width="11.42578125" customWidth="1"/>
    <col min="14" max="14" width="10.140625" customWidth="1"/>
    <col min="15" max="15" width="11.42578125" customWidth="1"/>
    <col min="17" max="17" width="9.5703125" customWidth="1"/>
  </cols>
  <sheetData>
    <row r="1" spans="1:18" ht="18.75" x14ac:dyDescent="0.25">
      <c r="A1" s="191" t="s">
        <v>85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8" ht="18.600000000000001" customHeight="1" x14ac:dyDescent="0.25">
      <c r="A2" s="193"/>
      <c r="B2" s="195" t="s">
        <v>97</v>
      </c>
      <c r="C2" s="196"/>
      <c r="D2" s="196"/>
      <c r="E2" s="196"/>
      <c r="F2" s="196"/>
      <c r="G2" s="196"/>
      <c r="H2" s="197"/>
      <c r="I2" s="195" t="s">
        <v>98</v>
      </c>
      <c r="J2" s="196"/>
      <c r="K2" s="196"/>
      <c r="L2" s="196"/>
      <c r="M2" s="197"/>
      <c r="N2" s="194"/>
      <c r="O2" s="194"/>
    </row>
    <row r="3" spans="1:18" ht="45" x14ac:dyDescent="0.25">
      <c r="A3" s="215" t="s">
        <v>126</v>
      </c>
      <c r="B3" s="216" t="s">
        <v>92</v>
      </c>
      <c r="C3" s="217" t="s">
        <v>115</v>
      </c>
      <c r="D3" s="217" t="s">
        <v>116</v>
      </c>
      <c r="E3" s="216" t="s">
        <v>94</v>
      </c>
      <c r="F3" s="216" t="s">
        <v>99</v>
      </c>
      <c r="G3" s="216" t="s">
        <v>100</v>
      </c>
      <c r="H3" s="218" t="s">
        <v>95</v>
      </c>
      <c r="I3" s="219" t="s">
        <v>92</v>
      </c>
      <c r="J3" s="217" t="s">
        <v>116</v>
      </c>
      <c r="K3" s="216" t="s">
        <v>94</v>
      </c>
      <c r="L3" s="216" t="s">
        <v>93</v>
      </c>
      <c r="M3" s="217" t="s">
        <v>95</v>
      </c>
      <c r="N3" s="220" t="s">
        <v>127</v>
      </c>
      <c r="O3" s="220" t="s">
        <v>128</v>
      </c>
      <c r="Q3" s="95" t="s">
        <v>91</v>
      </c>
      <c r="R3" s="52">
        <f>'Tab F - Revised isopleth calcu '!B27</f>
        <v>-22</v>
      </c>
    </row>
    <row r="4" spans="1:18" x14ac:dyDescent="0.25">
      <c r="A4" s="155">
        <v>1.25</v>
      </c>
      <c r="B4" s="152"/>
      <c r="C4" s="151"/>
      <c r="D4" s="151"/>
      <c r="E4" s="135">
        <v>133.80000000000001</v>
      </c>
      <c r="F4" s="135">
        <v>397.1</v>
      </c>
      <c r="G4" s="135">
        <v>171.97799774127765</v>
      </c>
      <c r="H4" s="160"/>
      <c r="I4" s="158"/>
      <c r="J4" s="152"/>
      <c r="K4" s="135">
        <v>58.199999999999989</v>
      </c>
      <c r="L4" s="135">
        <v>65.022002258722353</v>
      </c>
      <c r="M4" s="152"/>
      <c r="N4" s="153">
        <f>GEOMEAN(K4,L4,M4)</f>
        <v>61.516506170763954</v>
      </c>
      <c r="O4" s="165">
        <f>$R$3-N4</f>
        <v>-83.516506170763961</v>
      </c>
    </row>
    <row r="5" spans="1:18" x14ac:dyDescent="0.25">
      <c r="A5" s="155">
        <v>1.6</v>
      </c>
      <c r="B5" s="152"/>
      <c r="C5" s="151"/>
      <c r="D5" s="151"/>
      <c r="E5" s="135">
        <v>137.69999999999999</v>
      </c>
      <c r="F5" s="135">
        <v>685</v>
      </c>
      <c r="G5" s="135">
        <v>176.71381142984853</v>
      </c>
      <c r="H5" s="160"/>
      <c r="I5" s="158"/>
      <c r="J5" s="152"/>
      <c r="K5" s="135">
        <v>54.300000000000011</v>
      </c>
      <c r="L5" s="135">
        <v>60.286188570151467</v>
      </c>
      <c r="M5" s="152"/>
      <c r="N5" s="153">
        <f>GEOMEAN(K5,L5,M5)</f>
        <v>57.21485855404368</v>
      </c>
      <c r="O5" s="165">
        <f t="shared" ref="O5:O10" si="0">$R$3-N5</f>
        <v>-79.214858554043673</v>
      </c>
    </row>
    <row r="6" spans="1:18" x14ac:dyDescent="0.25">
      <c r="A6" s="155">
        <v>2</v>
      </c>
      <c r="B6" s="152"/>
      <c r="C6" s="151"/>
      <c r="D6" s="151"/>
      <c r="E6" s="135">
        <v>140.6</v>
      </c>
      <c r="F6" s="135">
        <v>1128.2</v>
      </c>
      <c r="G6" s="135">
        <v>181.04772190778749</v>
      </c>
      <c r="H6" s="160"/>
      <c r="I6" s="158"/>
      <c r="J6" s="152"/>
      <c r="K6" s="135">
        <v>51.400000000000006</v>
      </c>
      <c r="L6" s="135">
        <v>55.952278092212509</v>
      </c>
      <c r="M6" s="152"/>
      <c r="N6" s="153">
        <f t="shared" ref="N6:N10" si="1">GEOMEAN(K6,L6,M6)</f>
        <v>53.627857443121144</v>
      </c>
      <c r="O6" s="165">
        <f t="shared" si="0"/>
        <v>-75.627857443121144</v>
      </c>
    </row>
    <row r="7" spans="1:18" x14ac:dyDescent="0.25">
      <c r="A7" s="155">
        <v>3.15</v>
      </c>
      <c r="B7" s="152"/>
      <c r="C7" s="151"/>
      <c r="D7" s="151"/>
      <c r="E7" s="135">
        <v>152.80000000000001</v>
      </c>
      <c r="F7" s="135">
        <v>3376.9</v>
      </c>
      <c r="G7" s="135">
        <v>190.5703640016261</v>
      </c>
      <c r="H7" s="160"/>
      <c r="I7" s="158"/>
      <c r="J7" s="152"/>
      <c r="K7" s="135">
        <v>39.199999999999989</v>
      </c>
      <c r="L7" s="135">
        <v>46.429635998373897</v>
      </c>
      <c r="M7" s="152"/>
      <c r="N7" s="153">
        <f t="shared" si="1"/>
        <v>42.661947109060272</v>
      </c>
      <c r="O7" s="165">
        <f t="shared" si="0"/>
        <v>-64.661947109060264</v>
      </c>
    </row>
    <row r="8" spans="1:18" x14ac:dyDescent="0.25">
      <c r="A8" s="155">
        <v>4</v>
      </c>
      <c r="B8" s="152"/>
      <c r="C8" s="151"/>
      <c r="D8" s="151"/>
      <c r="E8" s="135">
        <v>158.19999999999999</v>
      </c>
      <c r="F8" s="135">
        <v>6772.9</v>
      </c>
      <c r="G8" s="135">
        <v>196.61549326830971</v>
      </c>
      <c r="H8" s="161">
        <v>188.1</v>
      </c>
      <c r="I8" s="158"/>
      <c r="J8" s="152"/>
      <c r="K8" s="135">
        <v>33.800000000000011</v>
      </c>
      <c r="L8" s="135">
        <v>40.384506731690294</v>
      </c>
      <c r="M8" s="135">
        <v>41.900000000000006</v>
      </c>
      <c r="N8" s="153">
        <f t="shared" si="1"/>
        <v>38.528476402064534</v>
      </c>
      <c r="O8" s="165">
        <f t="shared" si="0"/>
        <v>-60.528476402064534</v>
      </c>
    </row>
    <row r="9" spans="1:18" x14ac:dyDescent="0.25">
      <c r="A9" s="155">
        <v>5</v>
      </c>
      <c r="B9" s="152"/>
      <c r="C9" s="151"/>
      <c r="D9" s="151"/>
      <c r="E9" s="135">
        <v>159.69999999999999</v>
      </c>
      <c r="F9" s="135">
        <v>11956.4</v>
      </c>
      <c r="G9" s="135">
        <v>201.55200871765413</v>
      </c>
      <c r="H9" s="161">
        <v>196.6</v>
      </c>
      <c r="I9" s="158"/>
      <c r="J9" s="152"/>
      <c r="K9" s="135">
        <v>32.300000000000011</v>
      </c>
      <c r="L9" s="135">
        <v>35.447991282345868</v>
      </c>
      <c r="M9" s="135">
        <v>33.400000000000006</v>
      </c>
      <c r="N9" s="153">
        <f t="shared" si="1"/>
        <v>33.690971924757996</v>
      </c>
      <c r="O9" s="165">
        <f t="shared" si="0"/>
        <v>-55.690971924757996</v>
      </c>
    </row>
    <row r="10" spans="1:18" x14ac:dyDescent="0.25">
      <c r="A10" s="155">
        <v>6.3</v>
      </c>
      <c r="B10" s="152"/>
      <c r="C10" s="151"/>
      <c r="D10" s="151"/>
      <c r="E10" s="135">
        <v>165.8</v>
      </c>
      <c r="F10" s="135">
        <v>27874</v>
      </c>
      <c r="G10" s="135">
        <v>208.90398591411295</v>
      </c>
      <c r="H10" s="161">
        <v>200.1</v>
      </c>
      <c r="I10" s="158"/>
      <c r="J10" s="152"/>
      <c r="K10" s="135">
        <v>26.199999999999989</v>
      </c>
      <c r="L10" s="135">
        <v>28.096014085887049</v>
      </c>
      <c r="M10" s="135">
        <v>29.900000000000006</v>
      </c>
      <c r="N10" s="153">
        <f t="shared" si="1"/>
        <v>28.024576854561097</v>
      </c>
      <c r="O10" s="165">
        <f t="shared" si="0"/>
        <v>-50.024576854561097</v>
      </c>
    </row>
    <row r="11" spans="1:18" x14ac:dyDescent="0.25">
      <c r="A11" s="155">
        <v>8</v>
      </c>
      <c r="B11" s="135">
        <v>148.4</v>
      </c>
      <c r="C11" s="151"/>
      <c r="D11" s="151"/>
      <c r="E11" s="135">
        <v>170.2</v>
      </c>
      <c r="F11" s="135">
        <v>32432.9</v>
      </c>
      <c r="G11" s="135">
        <v>210.21971566028557</v>
      </c>
      <c r="H11" s="161">
        <v>201.8</v>
      </c>
      <c r="I11" s="159">
        <v>28.599999999999994</v>
      </c>
      <c r="J11" s="152"/>
      <c r="K11" s="135">
        <v>21.800000000000011</v>
      </c>
      <c r="L11" s="135">
        <v>26.780284339714427</v>
      </c>
      <c r="M11" s="135">
        <v>28.199999999999989</v>
      </c>
      <c r="N11" s="153">
        <f t="shared" ref="N11:N17" si="2">GEOMEAN(I11,K11,L11,M11)</f>
        <v>26.19519916098373</v>
      </c>
      <c r="O11" s="165">
        <f>$R$3-N11</f>
        <v>-48.195199160983734</v>
      </c>
    </row>
    <row r="12" spans="1:18" x14ac:dyDescent="0.25">
      <c r="A12" s="155">
        <v>10</v>
      </c>
      <c r="B12" s="135">
        <v>148.5</v>
      </c>
      <c r="C12" s="151"/>
      <c r="D12" s="151"/>
      <c r="E12" s="135">
        <v>171.3</v>
      </c>
      <c r="F12" s="135">
        <v>29578.1</v>
      </c>
      <c r="G12" s="135">
        <v>209.41940545811417</v>
      </c>
      <c r="H12" s="161">
        <v>202.1</v>
      </c>
      <c r="I12" s="159">
        <v>28.5</v>
      </c>
      <c r="J12" s="152"/>
      <c r="K12" s="135">
        <v>20.699999999999989</v>
      </c>
      <c r="L12" s="135">
        <v>27.58059454188583</v>
      </c>
      <c r="M12" s="135">
        <v>27.900000000000006</v>
      </c>
      <c r="N12" s="153">
        <f t="shared" si="2"/>
        <v>25.957075369389148</v>
      </c>
      <c r="O12" s="165">
        <f t="shared" ref="O12:O45" si="3">$R$3-N12</f>
        <v>-47.957075369389145</v>
      </c>
    </row>
    <row r="13" spans="1:18" x14ac:dyDescent="0.25">
      <c r="A13" s="155">
        <v>12.5</v>
      </c>
      <c r="B13" s="135">
        <v>149.6</v>
      </c>
      <c r="C13" s="151"/>
      <c r="D13" s="151"/>
      <c r="E13" s="135">
        <v>166.9</v>
      </c>
      <c r="F13" s="135">
        <v>25767.599999999999</v>
      </c>
      <c r="G13" s="135">
        <v>208.22147940299683</v>
      </c>
      <c r="H13" s="161">
        <v>204.1</v>
      </c>
      <c r="I13" s="159">
        <v>27.400000000000006</v>
      </c>
      <c r="J13" s="152"/>
      <c r="K13" s="135">
        <v>25.099999999999994</v>
      </c>
      <c r="L13" s="135">
        <v>28.778520597003165</v>
      </c>
      <c r="M13" s="135">
        <v>25.900000000000006</v>
      </c>
      <c r="N13" s="153">
        <f t="shared" si="2"/>
        <v>26.757659829800811</v>
      </c>
      <c r="O13" s="165">
        <f t="shared" si="3"/>
        <v>-48.757659829800815</v>
      </c>
    </row>
    <row r="14" spans="1:18" x14ac:dyDescent="0.25">
      <c r="A14" s="155">
        <v>16</v>
      </c>
      <c r="B14" s="135">
        <v>150.9</v>
      </c>
      <c r="C14" s="151"/>
      <c r="D14" s="151"/>
      <c r="E14" s="135">
        <v>170.8</v>
      </c>
      <c r="F14" s="135">
        <v>29294.400000000001</v>
      </c>
      <c r="G14" s="135">
        <v>209.33569214664359</v>
      </c>
      <c r="H14" s="161">
        <v>204.5</v>
      </c>
      <c r="I14" s="159">
        <v>26.099999999999994</v>
      </c>
      <c r="J14" s="152"/>
      <c r="K14" s="135">
        <v>21.199999999999989</v>
      </c>
      <c r="L14" s="135">
        <v>27.664307853356405</v>
      </c>
      <c r="M14" s="135">
        <v>25.5</v>
      </c>
      <c r="N14" s="153">
        <f t="shared" si="2"/>
        <v>24.995342345676047</v>
      </c>
      <c r="O14" s="165">
        <f t="shared" si="3"/>
        <v>-46.99534234567605</v>
      </c>
    </row>
    <row r="15" spans="1:18" x14ac:dyDescent="0.25">
      <c r="A15" s="155">
        <v>20</v>
      </c>
      <c r="B15" s="135">
        <v>151.9</v>
      </c>
      <c r="C15" s="151"/>
      <c r="D15" s="151"/>
      <c r="E15" s="135">
        <v>167.7</v>
      </c>
      <c r="F15" s="135">
        <v>32725.3</v>
      </c>
      <c r="G15" s="135">
        <v>210.29767273027548</v>
      </c>
      <c r="H15" s="161">
        <v>206.2</v>
      </c>
      <c r="I15" s="159">
        <v>25.099999999999994</v>
      </c>
      <c r="J15" s="152"/>
      <c r="K15" s="135">
        <v>24.300000000000011</v>
      </c>
      <c r="L15" s="135">
        <v>26.70232726972452</v>
      </c>
      <c r="M15" s="135">
        <v>23.800000000000011</v>
      </c>
      <c r="N15" s="153">
        <f t="shared" si="2"/>
        <v>24.951779083501908</v>
      </c>
      <c r="O15" s="165">
        <f t="shared" si="3"/>
        <v>-46.951779083501904</v>
      </c>
    </row>
    <row r="16" spans="1:18" x14ac:dyDescent="0.25">
      <c r="A16" s="155">
        <v>25</v>
      </c>
      <c r="B16" s="135">
        <v>153.19999999999999</v>
      </c>
      <c r="C16" s="151"/>
      <c r="D16" s="151"/>
      <c r="E16" s="135">
        <v>162.6</v>
      </c>
      <c r="F16" s="135">
        <v>37418.5</v>
      </c>
      <c r="G16" s="135">
        <v>211.46172747793514</v>
      </c>
      <c r="H16" s="161">
        <v>206.7</v>
      </c>
      <c r="I16" s="159">
        <v>23.800000000000011</v>
      </c>
      <c r="J16" s="152"/>
      <c r="K16" s="135">
        <v>29.400000000000006</v>
      </c>
      <c r="L16" s="135">
        <v>25.538272522064858</v>
      </c>
      <c r="M16" s="135">
        <v>23.300000000000011</v>
      </c>
      <c r="N16" s="153">
        <f t="shared" si="2"/>
        <v>25.402001152287607</v>
      </c>
      <c r="O16" s="165">
        <f t="shared" si="3"/>
        <v>-47.40200115228761</v>
      </c>
    </row>
    <row r="17" spans="1:15" x14ac:dyDescent="0.25">
      <c r="A17" s="155">
        <v>31.5</v>
      </c>
      <c r="B17" s="135">
        <v>154.6</v>
      </c>
      <c r="C17" s="151"/>
      <c r="D17" s="151"/>
      <c r="E17" s="135">
        <v>168</v>
      </c>
      <c r="F17" s="135">
        <v>40611.599999999999</v>
      </c>
      <c r="G17" s="135">
        <v>212.17300199983902</v>
      </c>
      <c r="H17" s="161">
        <v>207.2</v>
      </c>
      <c r="I17" s="159">
        <v>22.400000000000006</v>
      </c>
      <c r="J17" s="152"/>
      <c r="K17" s="135">
        <v>24</v>
      </c>
      <c r="L17" s="135">
        <v>24.826998000160984</v>
      </c>
      <c r="M17" s="135">
        <v>22.800000000000011</v>
      </c>
      <c r="N17" s="153">
        <f t="shared" si="2"/>
        <v>23.487109854102968</v>
      </c>
      <c r="O17" s="165">
        <f t="shared" si="3"/>
        <v>-45.487109854102968</v>
      </c>
    </row>
    <row r="18" spans="1:15" x14ac:dyDescent="0.25">
      <c r="A18" s="155">
        <v>40</v>
      </c>
      <c r="B18" s="135">
        <v>155.9</v>
      </c>
      <c r="C18" s="151"/>
      <c r="D18" s="153">
        <v>212</v>
      </c>
      <c r="E18" s="135">
        <v>166.7</v>
      </c>
      <c r="F18" s="135">
        <v>44851.1</v>
      </c>
      <c r="G18" s="135">
        <v>213.0354619768427</v>
      </c>
      <c r="H18" s="161">
        <v>208.1</v>
      </c>
      <c r="I18" s="159">
        <v>21.099999999999994</v>
      </c>
      <c r="J18" s="157">
        <f>247-D18</f>
        <v>35</v>
      </c>
      <c r="K18" s="135">
        <v>25.300000000000011</v>
      </c>
      <c r="L18" s="135">
        <v>23.964538023157303</v>
      </c>
      <c r="M18" s="135">
        <v>21.900000000000006</v>
      </c>
      <c r="N18" s="153">
        <f>GEOMEAN(I18,J18,K18,L18,M18)</f>
        <v>25.020549268145984</v>
      </c>
      <c r="O18" s="165">
        <f t="shared" si="3"/>
        <v>-47.020549268145984</v>
      </c>
    </row>
    <row r="19" spans="1:15" x14ac:dyDescent="0.25">
      <c r="A19" s="155">
        <v>50</v>
      </c>
      <c r="B19" s="135">
        <v>157.5</v>
      </c>
      <c r="C19" s="151"/>
      <c r="D19" s="153">
        <v>217</v>
      </c>
      <c r="E19" s="135">
        <v>162</v>
      </c>
      <c r="F19" s="135">
        <v>41629.300000000003</v>
      </c>
      <c r="G19" s="135">
        <v>212.38798216503639</v>
      </c>
      <c r="H19" s="161">
        <v>207.8</v>
      </c>
      <c r="I19" s="159">
        <v>19.5</v>
      </c>
      <c r="J19" s="157">
        <f>247-D19</f>
        <v>30</v>
      </c>
      <c r="K19" s="135">
        <v>30</v>
      </c>
      <c r="L19" s="135">
        <v>24.612017834963609</v>
      </c>
      <c r="M19" s="135">
        <v>22.199999999999989</v>
      </c>
      <c r="N19" s="153">
        <f>GEOMEAN(I19,J18,K19,L19,M19)</f>
        <v>25.688859366271434</v>
      </c>
      <c r="O19" s="165">
        <f t="shared" si="3"/>
        <v>-47.68885936627143</v>
      </c>
    </row>
    <row r="20" spans="1:15" x14ac:dyDescent="0.25">
      <c r="A20" s="155">
        <v>63</v>
      </c>
      <c r="B20" s="135">
        <v>158</v>
      </c>
      <c r="C20" s="136">
        <v>213.1</v>
      </c>
      <c r="D20" s="136">
        <f>C20-(10*LOG('Tab F5 - TOB Factor Table'!B11))</f>
        <v>201.45647144215562</v>
      </c>
      <c r="E20" s="135">
        <v>166.2</v>
      </c>
      <c r="F20" s="135">
        <v>40711.300000000003</v>
      </c>
      <c r="G20" s="135">
        <v>212.1942994112884</v>
      </c>
      <c r="H20" s="161">
        <v>206.2</v>
      </c>
      <c r="I20" s="159">
        <v>19</v>
      </c>
      <c r="J20" s="135">
        <v>28.58185861746162</v>
      </c>
      <c r="K20" s="135">
        <v>25.800000000000011</v>
      </c>
      <c r="L20" s="135">
        <v>24.805700588711602</v>
      </c>
      <c r="M20" s="135">
        <v>23.800000000000011</v>
      </c>
      <c r="N20" s="153">
        <f>GEOMEAN(I20:M20)</f>
        <v>24.183460490381169</v>
      </c>
      <c r="O20" s="165">
        <f t="shared" si="3"/>
        <v>-46.183460490381165</v>
      </c>
    </row>
    <row r="21" spans="1:15" x14ac:dyDescent="0.25">
      <c r="A21" s="155">
        <v>80</v>
      </c>
      <c r="B21" s="135">
        <v>157.19999999999999</v>
      </c>
      <c r="C21" s="136">
        <v>217.1</v>
      </c>
      <c r="D21" s="136">
        <f>C21-(10*LOG('Tab F5 - TOB Factor Table'!B12))</f>
        <v>204.47548910269569</v>
      </c>
      <c r="E21" s="135">
        <v>165.7</v>
      </c>
      <c r="F21" s="135">
        <v>28784</v>
      </c>
      <c r="G21" s="135">
        <v>209.18302292002952</v>
      </c>
      <c r="H21" s="161">
        <v>203.3</v>
      </c>
      <c r="I21" s="159">
        <v>19.800000000000011</v>
      </c>
      <c r="J21" s="135">
        <v>24.938037209559582</v>
      </c>
      <c r="K21" s="135">
        <v>26.300000000000011</v>
      </c>
      <c r="L21" s="135">
        <v>27.816977079970485</v>
      </c>
      <c r="M21" s="135">
        <v>26.699999999999989</v>
      </c>
      <c r="N21" s="153">
        <f t="shared" ref="N21:N42" si="4">GEOMEAN(I21:M21)</f>
        <v>24.937957489264654</v>
      </c>
      <c r="O21" s="165">
        <f t="shared" si="3"/>
        <v>-46.937957489264654</v>
      </c>
    </row>
    <row r="22" spans="1:15" x14ac:dyDescent="0.25">
      <c r="A22" s="155">
        <v>100</v>
      </c>
      <c r="B22" s="135">
        <v>151.30000000000001</v>
      </c>
      <c r="C22" s="136">
        <v>212</v>
      </c>
      <c r="D22" s="136">
        <f>C22-(10*LOG('Tab F5 - TOB Factor Table'!B13))</f>
        <v>198.38272163982407</v>
      </c>
      <c r="E22" s="135">
        <v>165.7</v>
      </c>
      <c r="F22" s="135">
        <v>13027.3</v>
      </c>
      <c r="G22" s="135">
        <v>202.29708828876119</v>
      </c>
      <c r="H22" s="161">
        <v>198.9</v>
      </c>
      <c r="I22" s="159">
        <v>25.699999999999989</v>
      </c>
      <c r="J22" s="135">
        <v>30.367205671564079</v>
      </c>
      <c r="K22" s="135">
        <v>26.300000000000011</v>
      </c>
      <c r="L22" s="135">
        <v>34.702911711238812</v>
      </c>
      <c r="M22" s="154">
        <f t="shared" ref="M22:M33" si="5">$H$46-H22</f>
        <v>31.099999999999994</v>
      </c>
      <c r="N22" s="153">
        <f t="shared" si="4"/>
        <v>29.449912000753891</v>
      </c>
      <c r="O22" s="165">
        <f t="shared" si="3"/>
        <v>-51.449912000753891</v>
      </c>
    </row>
    <row r="23" spans="1:15" x14ac:dyDescent="0.25">
      <c r="A23" s="155">
        <v>125</v>
      </c>
      <c r="B23" s="135">
        <v>144.5</v>
      </c>
      <c r="C23" s="136">
        <v>206.7</v>
      </c>
      <c r="D23" s="136">
        <f>C23-(10*LOG('Tab F5 - TOB Factor Table'!B14))</f>
        <v>192.07602002101044</v>
      </c>
      <c r="E23" s="135">
        <v>168.6</v>
      </c>
      <c r="F23" s="135">
        <v>10645.9</v>
      </c>
      <c r="G23" s="135">
        <v>200.54364764805885</v>
      </c>
      <c r="H23" s="161">
        <v>191</v>
      </c>
      <c r="I23" s="159">
        <v>32.5</v>
      </c>
      <c r="J23" s="135">
        <v>35.973173347481776</v>
      </c>
      <c r="K23" s="135">
        <v>23.400000000000006</v>
      </c>
      <c r="L23" s="135">
        <v>36.456352351941149</v>
      </c>
      <c r="M23" s="154">
        <f t="shared" si="5"/>
        <v>39</v>
      </c>
      <c r="N23" s="153">
        <f t="shared" si="4"/>
        <v>32.959692995788025</v>
      </c>
      <c r="O23" s="165">
        <f t="shared" si="3"/>
        <v>-54.959692995788025</v>
      </c>
    </row>
    <row r="24" spans="1:15" x14ac:dyDescent="0.25">
      <c r="A24" s="155">
        <v>160</v>
      </c>
      <c r="B24" s="135">
        <v>144.4</v>
      </c>
      <c r="C24" s="136">
        <v>202.8</v>
      </c>
      <c r="D24" s="136">
        <f>C24-(10*LOG('Tab F5 - TOB Factor Table'!B15))</f>
        <v>187.11798275933006</v>
      </c>
      <c r="E24" s="135">
        <v>170.3</v>
      </c>
      <c r="F24" s="135">
        <v>14233.5</v>
      </c>
      <c r="G24" s="135">
        <v>203.06623411382134</v>
      </c>
      <c r="H24" s="161">
        <v>189</v>
      </c>
      <c r="I24" s="159">
        <v>32.599999999999994</v>
      </c>
      <c r="J24" s="135">
        <v>40.158996524092316</v>
      </c>
      <c r="K24" s="135">
        <v>21.699999999999989</v>
      </c>
      <c r="L24" s="135">
        <v>33.933765886178662</v>
      </c>
      <c r="M24" s="154">
        <f t="shared" si="5"/>
        <v>41</v>
      </c>
      <c r="N24" s="153">
        <f t="shared" si="4"/>
        <v>33.065509605778146</v>
      </c>
      <c r="O24" s="165">
        <f t="shared" si="3"/>
        <v>-55.065509605778146</v>
      </c>
    </row>
    <row r="25" spans="1:15" x14ac:dyDescent="0.25">
      <c r="A25" s="155">
        <v>200</v>
      </c>
      <c r="B25" s="135">
        <v>135.69999999999999</v>
      </c>
      <c r="C25" s="136">
        <v>199.7</v>
      </c>
      <c r="D25" s="136">
        <f>C25-(10*LOG('Tab F5 - TOB Factor Table'!B16))</f>
        <v>183.07242168318425</v>
      </c>
      <c r="E25" s="135">
        <v>156.9</v>
      </c>
      <c r="F25" s="135">
        <v>10004.799999999999</v>
      </c>
      <c r="G25" s="135">
        <v>200.00416822673188</v>
      </c>
      <c r="H25" s="161">
        <v>187.6</v>
      </c>
      <c r="I25" s="159">
        <v>41.300000000000011</v>
      </c>
      <c r="J25" s="135">
        <v>43.527164711475848</v>
      </c>
      <c r="K25" s="135">
        <v>35.099999999999994</v>
      </c>
      <c r="L25" s="135">
        <v>36.995831773268122</v>
      </c>
      <c r="M25" s="154">
        <f t="shared" si="5"/>
        <v>42.400000000000006</v>
      </c>
      <c r="N25" s="153">
        <f t="shared" si="4"/>
        <v>39.728963969390044</v>
      </c>
      <c r="O25" s="165">
        <f t="shared" si="3"/>
        <v>-61.728963969390044</v>
      </c>
    </row>
    <row r="26" spans="1:15" x14ac:dyDescent="0.25">
      <c r="A26" s="155">
        <v>250</v>
      </c>
      <c r="B26" s="135">
        <v>125.5</v>
      </c>
      <c r="C26" s="136">
        <v>196</v>
      </c>
      <c r="D26" s="136">
        <f>C26-(10*LOG('Tab F5 - TOB Factor Table'!B17))</f>
        <v>178.36572006437063</v>
      </c>
      <c r="E26" s="135">
        <v>149</v>
      </c>
      <c r="F26" s="135">
        <v>6084.47</v>
      </c>
      <c r="G26" s="135">
        <v>195.68445508238136</v>
      </c>
      <c r="H26" s="161">
        <v>183.8</v>
      </c>
      <c r="I26" s="159">
        <v>51.5</v>
      </c>
      <c r="J26" s="135">
        <v>47.479732663618051</v>
      </c>
      <c r="K26" s="135">
        <v>43</v>
      </c>
      <c r="L26" s="135">
        <v>41.315544917618638</v>
      </c>
      <c r="M26" s="154">
        <f t="shared" si="5"/>
        <v>46.199999999999989</v>
      </c>
      <c r="N26" s="153">
        <f t="shared" si="4"/>
        <v>45.762304025686966</v>
      </c>
      <c r="O26" s="165">
        <f t="shared" si="3"/>
        <v>-67.762304025686973</v>
      </c>
    </row>
    <row r="27" spans="1:15" x14ac:dyDescent="0.25">
      <c r="A27" s="155">
        <v>315</v>
      </c>
      <c r="B27" s="135">
        <v>124.2</v>
      </c>
      <c r="C27" s="136">
        <v>192.4</v>
      </c>
      <c r="D27" s="136">
        <f>C27-(10*LOG('Tab F5 - TOB Factor Table'!B18))</f>
        <v>173.76677139879544</v>
      </c>
      <c r="E27" s="135">
        <v>144.80000000000001</v>
      </c>
      <c r="F27" s="135">
        <v>3314.7</v>
      </c>
      <c r="G27" s="135">
        <v>190.40888456588476</v>
      </c>
      <c r="H27" s="161">
        <v>181.9</v>
      </c>
      <c r="I27" s="159">
        <v>52.8</v>
      </c>
      <c r="J27" s="135">
        <v>51.318416065365</v>
      </c>
      <c r="K27" s="135">
        <v>47.199999999999989</v>
      </c>
      <c r="L27" s="135">
        <v>46.591115434115238</v>
      </c>
      <c r="M27" s="154">
        <f t="shared" si="5"/>
        <v>48.099999999999994</v>
      </c>
      <c r="N27" s="153">
        <f t="shared" si="4"/>
        <v>49.142751596342258</v>
      </c>
      <c r="O27" s="165">
        <f t="shared" si="3"/>
        <v>-71.142751596342265</v>
      </c>
    </row>
    <row r="28" spans="1:15" x14ac:dyDescent="0.25">
      <c r="A28" s="155">
        <v>400</v>
      </c>
      <c r="B28" s="135">
        <v>119</v>
      </c>
      <c r="C28" s="136">
        <v>188.6</v>
      </c>
      <c r="D28" s="136">
        <f>C28-(10*LOG('Tab F5 - TOB Factor Table'!B19))</f>
        <v>168.96212172654444</v>
      </c>
      <c r="E28" s="135">
        <v>133.1</v>
      </c>
      <c r="F28" s="135">
        <v>1399.6</v>
      </c>
      <c r="G28" s="135">
        <v>182.92007867621737</v>
      </c>
      <c r="H28" s="161">
        <v>177.4</v>
      </c>
      <c r="I28" s="159">
        <v>58</v>
      </c>
      <c r="J28" s="135">
        <v>55.344662261615923</v>
      </c>
      <c r="K28" s="135">
        <v>58.900000000000006</v>
      </c>
      <c r="L28" s="135">
        <v>54.079921323782628</v>
      </c>
      <c r="M28" s="154">
        <f t="shared" si="5"/>
        <v>52.599999999999994</v>
      </c>
      <c r="N28" s="153">
        <f t="shared" si="4"/>
        <v>55.735020477728476</v>
      </c>
      <c r="O28" s="165">
        <f t="shared" si="3"/>
        <v>-77.735020477728483</v>
      </c>
    </row>
    <row r="29" spans="1:15" x14ac:dyDescent="0.25">
      <c r="A29" s="155">
        <v>500</v>
      </c>
      <c r="B29" s="135">
        <v>118.3</v>
      </c>
      <c r="C29" s="136">
        <v>183</v>
      </c>
      <c r="D29" s="136">
        <f>C29-(10*LOG('Tab F5 - TOB Factor Table'!B20))</f>
        <v>162.39302159646388</v>
      </c>
      <c r="E29" s="135">
        <v>132</v>
      </c>
      <c r="F29" s="135">
        <v>367.5</v>
      </c>
      <c r="G29" s="135">
        <v>171.30514686840428</v>
      </c>
      <c r="H29" s="161">
        <v>175.7</v>
      </c>
      <c r="I29" s="159">
        <v>58.7</v>
      </c>
      <c r="J29" s="135">
        <v>61.159703454569183</v>
      </c>
      <c r="K29" s="135">
        <v>60</v>
      </c>
      <c r="L29" s="135">
        <v>65.694853131595721</v>
      </c>
      <c r="M29" s="154">
        <f t="shared" si="5"/>
        <v>54.300000000000011</v>
      </c>
      <c r="N29" s="153">
        <f t="shared" si="4"/>
        <v>59.857307793841962</v>
      </c>
      <c r="O29" s="165">
        <f t="shared" si="3"/>
        <v>-81.857307793841954</v>
      </c>
    </row>
    <row r="30" spans="1:15" x14ac:dyDescent="0.25">
      <c r="A30" s="155">
        <v>630</v>
      </c>
      <c r="B30" s="135">
        <v>117</v>
      </c>
      <c r="C30" s="136">
        <v>183.5</v>
      </c>
      <c r="D30" s="136">
        <f>C30-(10*LOG('Tab F5 - TOB Factor Table'!B21))</f>
        <v>161.85647144215562</v>
      </c>
      <c r="E30" s="135">
        <v>132</v>
      </c>
      <c r="F30" s="135">
        <v>250.9</v>
      </c>
      <c r="G30" s="135">
        <v>167.99001322629221</v>
      </c>
      <c r="H30" s="161">
        <v>174.4</v>
      </c>
      <c r="I30" s="159">
        <v>60</v>
      </c>
      <c r="J30" s="135">
        <v>60.864597338485282</v>
      </c>
      <c r="K30" s="135">
        <v>60</v>
      </c>
      <c r="L30" s="135">
        <v>69.009986773707794</v>
      </c>
      <c r="M30" s="154">
        <f t="shared" si="5"/>
        <v>55.599999999999994</v>
      </c>
      <c r="N30" s="153">
        <f t="shared" si="4"/>
        <v>60.943977916146231</v>
      </c>
      <c r="O30" s="165">
        <f t="shared" si="3"/>
        <v>-82.943977916146224</v>
      </c>
    </row>
    <row r="31" spans="1:15" x14ac:dyDescent="0.25">
      <c r="A31" s="155">
        <v>800</v>
      </c>
      <c r="B31" s="135">
        <v>111.4</v>
      </c>
      <c r="C31" s="136">
        <v>183.9</v>
      </c>
      <c r="D31" s="136">
        <f>C31-(10*LOG('Tab F5 - TOB Factor Table'!B22))</f>
        <v>161.2754891026957</v>
      </c>
      <c r="E31" s="135">
        <v>126.3</v>
      </c>
      <c r="F31" s="135">
        <v>183.7</v>
      </c>
      <c r="G31" s="135">
        <v>165.28218312611617</v>
      </c>
      <c r="H31" s="161">
        <v>171.4</v>
      </c>
      <c r="I31" s="159">
        <v>65.599999999999994</v>
      </c>
      <c r="J31" s="135">
        <v>60.660258571931223</v>
      </c>
      <c r="K31" s="135">
        <v>65.7</v>
      </c>
      <c r="L31" s="135">
        <v>71.717816873883834</v>
      </c>
      <c r="M31" s="154">
        <f t="shared" si="5"/>
        <v>58.599999999999994</v>
      </c>
      <c r="N31" s="153">
        <f t="shared" si="4"/>
        <v>64.295359448728121</v>
      </c>
      <c r="O31" s="165">
        <f t="shared" si="3"/>
        <v>-86.295359448728121</v>
      </c>
    </row>
    <row r="32" spans="1:15" x14ac:dyDescent="0.25">
      <c r="A32" s="155">
        <v>1000</v>
      </c>
      <c r="B32" s="135">
        <v>108.6</v>
      </c>
      <c r="C32" s="136">
        <v>182.1</v>
      </c>
      <c r="D32" s="136">
        <f>C32-(10*LOG('Tab F5 - TOB Factor Table'!B23))</f>
        <v>158.48272163982406</v>
      </c>
      <c r="E32" s="135">
        <v>125.7</v>
      </c>
      <c r="F32" s="135">
        <v>215</v>
      </c>
      <c r="G32" s="135">
        <v>166.64876919831212</v>
      </c>
      <c r="H32" s="161">
        <v>169.2</v>
      </c>
      <c r="I32" s="159">
        <v>68.400000000000006</v>
      </c>
      <c r="J32" s="135">
        <v>62.647483460101057</v>
      </c>
      <c r="K32" s="135">
        <v>66.3</v>
      </c>
      <c r="L32" s="135">
        <v>70.351230801687876</v>
      </c>
      <c r="M32" s="154">
        <f t="shared" si="5"/>
        <v>60.800000000000011</v>
      </c>
      <c r="N32" s="153">
        <f t="shared" si="4"/>
        <v>65.603907543041288</v>
      </c>
      <c r="O32" s="165">
        <f t="shared" si="3"/>
        <v>-87.603907543041288</v>
      </c>
    </row>
    <row r="33" spans="1:15" x14ac:dyDescent="0.25">
      <c r="A33" s="155">
        <v>1250</v>
      </c>
      <c r="B33" s="135">
        <v>104.5</v>
      </c>
      <c r="C33" s="136">
        <v>173</v>
      </c>
      <c r="D33" s="136">
        <f>C33-(10*LOG('Tab F5 - TOB Factor Table'!B24))</f>
        <v>148.37602002101045</v>
      </c>
      <c r="E33" s="135">
        <v>120</v>
      </c>
      <c r="F33" s="135">
        <v>187.2</v>
      </c>
      <c r="G33" s="135">
        <v>165.44611688804173</v>
      </c>
      <c r="H33" s="161">
        <v>166.7</v>
      </c>
      <c r="I33" s="159">
        <v>72.5</v>
      </c>
      <c r="J33" s="135">
        <v>71.926969532596672</v>
      </c>
      <c r="K33" s="135">
        <v>72</v>
      </c>
      <c r="L33" s="135">
        <v>71.553883111958271</v>
      </c>
      <c r="M33" s="154">
        <f t="shared" si="5"/>
        <v>63.300000000000011</v>
      </c>
      <c r="N33" s="153">
        <f t="shared" si="4"/>
        <v>70.164888045566741</v>
      </c>
      <c r="O33" s="165">
        <f t="shared" si="3"/>
        <v>-92.164888045566741</v>
      </c>
    </row>
    <row r="34" spans="1:15" x14ac:dyDescent="0.25">
      <c r="A34" s="155">
        <v>1600</v>
      </c>
      <c r="B34" s="135">
        <v>103</v>
      </c>
      <c r="C34" s="136">
        <v>170.7</v>
      </c>
      <c r="D34" s="136">
        <f>C34-(10*LOG('Tab F5 - TOB Factor Table'!B25))</f>
        <v>145.07707135543524</v>
      </c>
      <c r="E34" s="135">
        <v>118.8</v>
      </c>
      <c r="F34" s="135">
        <v>120</v>
      </c>
      <c r="G34" s="135">
        <v>161.5836249209525</v>
      </c>
      <c r="H34" s="161">
        <v>163.5</v>
      </c>
      <c r="I34" s="159">
        <v>74</v>
      </c>
      <c r="J34" s="135">
        <v>74.39933123331295</v>
      </c>
      <c r="K34" s="135">
        <v>73.2</v>
      </c>
      <c r="L34" s="135">
        <v>75.416375079047498</v>
      </c>
      <c r="M34" s="135">
        <v>66.5</v>
      </c>
      <c r="N34" s="153">
        <f t="shared" si="4"/>
        <v>72.630632527128697</v>
      </c>
      <c r="O34" s="165">
        <f t="shared" si="3"/>
        <v>-94.630632527128697</v>
      </c>
    </row>
    <row r="35" spans="1:15" x14ac:dyDescent="0.25">
      <c r="A35" s="155">
        <v>2000</v>
      </c>
      <c r="B35" s="135">
        <v>101</v>
      </c>
      <c r="C35" s="136">
        <v>168.5</v>
      </c>
      <c r="D35" s="136">
        <f>C35-(10*LOG('Tab F5 - TOB Factor Table'!B26))</f>
        <v>141.86299074610352</v>
      </c>
      <c r="E35" s="135">
        <v>118.4</v>
      </c>
      <c r="F35" s="135">
        <v>84.3</v>
      </c>
      <c r="G35" s="135">
        <v>158.51655149249484</v>
      </c>
      <c r="H35" s="161">
        <v>161.4</v>
      </c>
      <c r="I35" s="159">
        <v>76</v>
      </c>
      <c r="J35" s="135">
        <v>76.765112613645755</v>
      </c>
      <c r="K35" s="135">
        <v>73.599999999999994</v>
      </c>
      <c r="L35" s="135">
        <v>78.483448507505159</v>
      </c>
      <c r="M35" s="135">
        <v>68.599999999999994</v>
      </c>
      <c r="N35" s="153">
        <f t="shared" si="4"/>
        <v>74.609047951982447</v>
      </c>
      <c r="O35" s="165">
        <f t="shared" si="3"/>
        <v>-96.609047951982447</v>
      </c>
    </row>
    <row r="36" spans="1:15" x14ac:dyDescent="0.25">
      <c r="A36" s="155">
        <v>2500</v>
      </c>
      <c r="B36" s="135">
        <v>100</v>
      </c>
      <c r="C36" s="136">
        <v>164.9</v>
      </c>
      <c r="D36" s="136">
        <f>C36-(10*LOG('Tab F5 - TOB Factor Table'!B27))</f>
        <v>137.2807216157947</v>
      </c>
      <c r="E36" s="135">
        <v>115.4</v>
      </c>
      <c r="F36" s="135">
        <v>40.700000000000003</v>
      </c>
      <c r="G36" s="135">
        <v>152.19188818450442</v>
      </c>
      <c r="H36" s="161">
        <v>159.5</v>
      </c>
      <c r="I36" s="159">
        <v>77</v>
      </c>
      <c r="J36" s="135">
        <v>80.524797690644476</v>
      </c>
      <c r="K36" s="135">
        <v>76.599999999999994</v>
      </c>
      <c r="L36" s="135">
        <v>84.808111815495579</v>
      </c>
      <c r="M36" s="135">
        <v>70.5</v>
      </c>
      <c r="N36" s="153">
        <f t="shared" si="4"/>
        <v>77.741896265870551</v>
      </c>
      <c r="O36" s="165">
        <f t="shared" si="3"/>
        <v>-99.741896265870551</v>
      </c>
    </row>
    <row r="37" spans="1:15" x14ac:dyDescent="0.25">
      <c r="A37" s="155">
        <v>3150</v>
      </c>
      <c r="B37" s="135">
        <v>98.2</v>
      </c>
      <c r="C37" s="136">
        <v>166.7</v>
      </c>
      <c r="D37" s="136">
        <f>C37-(10*LOG('Tab F5 - TOB Factor Table'!B28))</f>
        <v>138.06677139879542</v>
      </c>
      <c r="E37" s="135">
        <v>117.3</v>
      </c>
      <c r="F37" s="135">
        <v>57.3</v>
      </c>
      <c r="G37" s="135">
        <v>155.16309243934779</v>
      </c>
      <c r="H37" s="161">
        <v>157.6</v>
      </c>
      <c r="I37" s="159">
        <v>78.8</v>
      </c>
      <c r="J37" s="135">
        <v>78.878818967339924</v>
      </c>
      <c r="K37" s="135">
        <v>74.7</v>
      </c>
      <c r="L37" s="135">
        <v>81.836907560652207</v>
      </c>
      <c r="M37" s="135">
        <v>72.400000000000006</v>
      </c>
      <c r="N37" s="153">
        <f t="shared" si="4"/>
        <v>77.25009087214255</v>
      </c>
      <c r="O37" s="165">
        <f t="shared" si="3"/>
        <v>-99.25009087214255</v>
      </c>
    </row>
    <row r="38" spans="1:15" x14ac:dyDescent="0.25">
      <c r="A38" s="155">
        <v>4000</v>
      </c>
      <c r="B38" s="135">
        <v>95.8</v>
      </c>
      <c r="C38" s="136">
        <v>167</v>
      </c>
      <c r="D38" s="136">
        <f>C38-(10*LOG('Tab F5 - TOB Factor Table'!B29))</f>
        <v>137.36684488613889</v>
      </c>
      <c r="E38" s="135">
        <v>114.1</v>
      </c>
      <c r="F38" s="135">
        <v>18.600000000000001</v>
      </c>
      <c r="G38" s="135">
        <v>145.39025888435833</v>
      </c>
      <c r="H38" s="161">
        <v>156.5</v>
      </c>
      <c r="I38" s="159">
        <v>81.2</v>
      </c>
      <c r="J38" s="135">
        <v>78.72756449317211</v>
      </c>
      <c r="K38" s="135">
        <v>77.900000000000006</v>
      </c>
      <c r="L38" s="135">
        <v>91.609741115641668</v>
      </c>
      <c r="M38" s="135">
        <v>73.5</v>
      </c>
      <c r="N38" s="153">
        <f t="shared" si="4"/>
        <v>80.369239655395376</v>
      </c>
      <c r="O38" s="165">
        <f t="shared" si="3"/>
        <v>-102.36923965539538</v>
      </c>
    </row>
    <row r="39" spans="1:15" x14ac:dyDescent="0.25">
      <c r="A39" s="155">
        <v>5000</v>
      </c>
      <c r="B39" s="135">
        <v>88.6</v>
      </c>
      <c r="C39" s="136">
        <v>167.6</v>
      </c>
      <c r="D39" s="136">
        <f>C39-(10*LOG('Tab F5 - TOB Factor Table'!B30))</f>
        <v>136.97042165915488</v>
      </c>
      <c r="E39" s="135">
        <v>110.5</v>
      </c>
      <c r="F39" s="135">
        <v>15.9</v>
      </c>
      <c r="G39" s="135">
        <v>144.02794248640905</v>
      </c>
      <c r="H39" s="161">
        <v>154.80000000000001</v>
      </c>
      <c r="I39" s="159">
        <v>88.4</v>
      </c>
      <c r="J39" s="135">
        <v>78.271383754771875</v>
      </c>
      <c r="K39" s="135">
        <v>81.5</v>
      </c>
      <c r="L39" s="135">
        <v>92.972057513590954</v>
      </c>
      <c r="M39" s="135">
        <v>75.199999999999989</v>
      </c>
      <c r="N39" s="153">
        <f t="shared" si="4"/>
        <v>83.015011740318741</v>
      </c>
      <c r="O39" s="165">
        <f t="shared" si="3"/>
        <v>-105.01501174031874</v>
      </c>
    </row>
    <row r="40" spans="1:15" x14ac:dyDescent="0.25">
      <c r="A40" s="155">
        <v>6300</v>
      </c>
      <c r="B40" s="135">
        <v>89.3</v>
      </c>
      <c r="C40" s="136">
        <v>167.7</v>
      </c>
      <c r="D40" s="136">
        <f>C40-(10*LOG('Tab F5 - TOB Factor Table'!B31))</f>
        <v>136.06838625022979</v>
      </c>
      <c r="E40" s="135">
        <v>117.5</v>
      </c>
      <c r="F40" s="135">
        <v>15.3</v>
      </c>
      <c r="G40" s="135">
        <v>143.69382861635196</v>
      </c>
      <c r="H40" s="161">
        <v>154</v>
      </c>
      <c r="I40" s="159">
        <v>87.7</v>
      </c>
      <c r="J40" s="135">
        <v>78.310592622177523</v>
      </c>
      <c r="K40" s="135">
        <v>74.5</v>
      </c>
      <c r="L40" s="135">
        <v>93.306171383648035</v>
      </c>
      <c r="M40" s="135">
        <v>76</v>
      </c>
      <c r="N40" s="153">
        <f t="shared" si="4"/>
        <v>81.646969136441271</v>
      </c>
      <c r="O40" s="165">
        <f t="shared" si="3"/>
        <v>-103.64696913644127</v>
      </c>
    </row>
    <row r="41" spans="1:15" x14ac:dyDescent="0.25">
      <c r="A41" s="155">
        <v>8000</v>
      </c>
      <c r="B41" s="135">
        <v>87.2</v>
      </c>
      <c r="C41" s="136">
        <v>160.9</v>
      </c>
      <c r="D41" s="136">
        <f>C41-(10*LOG('Tab F5 - TOB Factor Table'!B32))</f>
        <v>128.26600668665998</v>
      </c>
      <c r="E41" s="135">
        <v>132</v>
      </c>
      <c r="F41" s="135">
        <v>8.16</v>
      </c>
      <c r="G41" s="135">
        <v>138.23380317507721</v>
      </c>
      <c r="H41" s="161">
        <v>153</v>
      </c>
      <c r="I41" s="159">
        <v>89.8</v>
      </c>
      <c r="J41" s="135">
        <v>85.245477526602855</v>
      </c>
      <c r="K41" s="135">
        <v>60</v>
      </c>
      <c r="L41" s="135">
        <v>98.766196824922787</v>
      </c>
      <c r="M41" s="135">
        <v>77</v>
      </c>
      <c r="N41" s="153">
        <f t="shared" si="4"/>
        <v>81.028835624246668</v>
      </c>
      <c r="O41" s="165">
        <f t="shared" si="3"/>
        <v>-103.02883562424667</v>
      </c>
    </row>
    <row r="42" spans="1:15" x14ac:dyDescent="0.25">
      <c r="A42" s="155">
        <v>10000</v>
      </c>
      <c r="B42" s="135">
        <v>85.2</v>
      </c>
      <c r="C42" s="136">
        <v>156.1</v>
      </c>
      <c r="D42" s="136">
        <f>C42-(10*LOG('Tab F5 - TOB Factor Table'!B33))</f>
        <v>122.46952405478906</v>
      </c>
      <c r="E42" s="135">
        <v>106.7</v>
      </c>
      <c r="F42" s="135">
        <v>5.0999999999999996</v>
      </c>
      <c r="G42" s="135">
        <v>134.15140352195874</v>
      </c>
      <c r="H42" s="161">
        <v>151.9</v>
      </c>
      <c r="I42" s="159">
        <v>91.8</v>
      </c>
      <c r="J42" s="135">
        <v>90.176299008713386</v>
      </c>
      <c r="K42" s="135">
        <v>85.3</v>
      </c>
      <c r="L42" s="135">
        <v>102.84859647804126</v>
      </c>
      <c r="M42" s="135">
        <v>78.099999999999994</v>
      </c>
      <c r="N42" s="153">
        <f t="shared" si="4"/>
        <v>89.278462926182627</v>
      </c>
      <c r="O42" s="165">
        <f t="shared" si="3"/>
        <v>-111.27846292618263</v>
      </c>
    </row>
    <row r="43" spans="1:15" x14ac:dyDescent="0.25">
      <c r="A43" s="155">
        <v>12500</v>
      </c>
      <c r="B43" s="135">
        <v>85.6</v>
      </c>
      <c r="C43" s="136">
        <v>168</v>
      </c>
      <c r="D43" s="136">
        <f>C43-(10*LOG('Tab F5 - TOB Factor Table'!B34))</f>
        <v>133.36107011014093</v>
      </c>
      <c r="E43" s="135">
        <v>101.4</v>
      </c>
      <c r="F43" s="135">
        <v>3.7</v>
      </c>
      <c r="G43" s="135">
        <v>131.3640344813399</v>
      </c>
      <c r="H43" s="161">
        <v>150.9</v>
      </c>
      <c r="I43" s="159">
        <v>91.4</v>
      </c>
      <c r="J43" s="135">
        <v>90.176299008713386</v>
      </c>
      <c r="K43" s="135">
        <v>90.6</v>
      </c>
      <c r="L43" s="135">
        <v>105.6359655186601</v>
      </c>
      <c r="M43" s="135">
        <v>79.099999999999994</v>
      </c>
      <c r="N43" s="153">
        <f>GEOMEAN(I43,K43,L43,M43,J43)</f>
        <v>90.997826248065962</v>
      </c>
      <c r="O43" s="165">
        <f t="shared" si="3"/>
        <v>-112.99782624806596</v>
      </c>
    </row>
    <row r="44" spans="1:15" x14ac:dyDescent="0.25">
      <c r="A44" s="155">
        <v>16000</v>
      </c>
      <c r="B44" s="135">
        <v>83.5</v>
      </c>
      <c r="C44" s="136">
        <v>158</v>
      </c>
      <c r="D44" s="136">
        <f>C44-(10*LOG('Tab F5 - TOB Factor Table'!B35))</f>
        <v>122.37707135543525</v>
      </c>
      <c r="E44" s="135">
        <v>96</v>
      </c>
      <c r="F44" s="135">
        <v>2.4</v>
      </c>
      <c r="G44" s="135">
        <v>127.60422483423213</v>
      </c>
      <c r="H44" s="161">
        <v>149.1</v>
      </c>
      <c r="I44" s="159">
        <v>93.5</v>
      </c>
      <c r="J44" s="135">
        <v>90.176299008713386</v>
      </c>
      <c r="K44" s="135">
        <v>96</v>
      </c>
      <c r="L44" s="135">
        <v>109.39577516576787</v>
      </c>
      <c r="M44" s="135">
        <v>80.900000000000006</v>
      </c>
      <c r="N44" s="153">
        <f t="shared" ref="N44:N45" si="6">GEOMEAN(I44,K44,L44,M44,J44)</f>
        <v>93.545923017911278</v>
      </c>
      <c r="O44" s="165">
        <f t="shared" si="3"/>
        <v>-115.54592301791128</v>
      </c>
    </row>
    <row r="45" spans="1:15" x14ac:dyDescent="0.25">
      <c r="A45" s="155">
        <v>20000</v>
      </c>
      <c r="B45" s="135">
        <v>83.2</v>
      </c>
      <c r="C45" s="139">
        <v>155</v>
      </c>
      <c r="D45" s="136">
        <f>C45-(10*LOG('Tab F5 - TOB Factor Table'!B36))</f>
        <v>118.36299074610352</v>
      </c>
      <c r="E45" s="135">
        <v>93.4</v>
      </c>
      <c r="F45" s="135">
        <v>1.5</v>
      </c>
      <c r="G45" s="135">
        <v>123.52182518111363</v>
      </c>
      <c r="H45" s="161">
        <v>148.5</v>
      </c>
      <c r="I45" s="159">
        <v>93.8</v>
      </c>
      <c r="J45" s="135">
        <v>90.176299008713386</v>
      </c>
      <c r="K45" s="135">
        <v>98.6</v>
      </c>
      <c r="L45" s="135">
        <v>113.47817481888637</v>
      </c>
      <c r="M45" s="135">
        <v>81.5</v>
      </c>
      <c r="N45" s="153">
        <f t="shared" si="6"/>
        <v>94.939823989824006</v>
      </c>
      <c r="O45" s="165">
        <f t="shared" si="3"/>
        <v>-116.93982398982401</v>
      </c>
    </row>
    <row r="46" spans="1:15" ht="30" x14ac:dyDescent="0.25">
      <c r="A46" s="96" t="s">
        <v>96</v>
      </c>
      <c r="B46" s="97">
        <v>177</v>
      </c>
      <c r="C46" s="97">
        <v>231</v>
      </c>
      <c r="D46" s="97">
        <v>231</v>
      </c>
      <c r="E46" s="97">
        <v>192</v>
      </c>
      <c r="F46" s="97">
        <v>237</v>
      </c>
      <c r="G46" s="97">
        <v>237</v>
      </c>
      <c r="H46" s="97">
        <v>230</v>
      </c>
      <c r="I46" s="97"/>
      <c r="J46" s="97"/>
      <c r="K46" s="97"/>
      <c r="L46" s="97"/>
      <c r="M46" s="97"/>
      <c r="N46" s="97"/>
      <c r="O46" s="97"/>
    </row>
  </sheetData>
  <sheetProtection algorithmName="SHA-512" hashValue="QYwf5gJrVFcclxC979bUCmBVtJYnPmn7ULUlGivu+S6OVK6XyvUSO3lEAdrBVaEJbF1T6k+LhOcu3A2baizj+Q==" saltValue="cRqSxwAUozr8hSDq9SmTTA==" spinCount="100000" sheet="1" selectLockedCells="1"/>
  <protectedRanges>
    <protectedRange sqref="O4:O44" name="Range1"/>
  </protectedRange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>
      <selection activeCell="C11" sqref="C11"/>
    </sheetView>
  </sheetViews>
  <sheetFormatPr defaultRowHeight="15" x14ac:dyDescent="0.25"/>
  <cols>
    <col min="1" max="1" width="10.28515625" customWidth="1"/>
    <col min="2" max="2" width="10" customWidth="1"/>
    <col min="5" max="5" width="9.85546875" bestFit="1" customWidth="1"/>
  </cols>
  <sheetData>
    <row r="1" spans="1:5" ht="28.5" customHeight="1" x14ac:dyDescent="0.25">
      <c r="A1" s="156" t="s">
        <v>117</v>
      </c>
      <c r="B1" s="156" t="s">
        <v>118</v>
      </c>
      <c r="D1" s="156" t="s">
        <v>120</v>
      </c>
      <c r="E1" s="156" t="s">
        <v>118</v>
      </c>
    </row>
    <row r="2" spans="1:5" x14ac:dyDescent="0.25">
      <c r="A2" s="52">
        <v>8</v>
      </c>
      <c r="B2" s="52">
        <v>1.8</v>
      </c>
      <c r="D2" s="155">
        <v>1.25</v>
      </c>
      <c r="E2" s="155">
        <f t="shared" ref="E2:E7" si="0">0.23*D2</f>
        <v>0.28750000000000003</v>
      </c>
    </row>
    <row r="3" spans="1:5" x14ac:dyDescent="0.25">
      <c r="A3" s="52">
        <v>10</v>
      </c>
      <c r="B3" s="52">
        <v>2.2999999999999998</v>
      </c>
      <c r="D3" s="155">
        <v>1.6</v>
      </c>
      <c r="E3" s="155">
        <f t="shared" si="0"/>
        <v>0.36800000000000005</v>
      </c>
    </row>
    <row r="4" spans="1:5" x14ac:dyDescent="0.25">
      <c r="A4" s="52">
        <v>13</v>
      </c>
      <c r="B4" s="52">
        <v>3</v>
      </c>
      <c r="D4" s="155">
        <v>2</v>
      </c>
      <c r="E4" s="155">
        <f t="shared" si="0"/>
        <v>0.46</v>
      </c>
    </row>
    <row r="5" spans="1:5" x14ac:dyDescent="0.25">
      <c r="A5" s="52">
        <v>16</v>
      </c>
      <c r="B5" s="52">
        <v>3.7</v>
      </c>
      <c r="D5" s="155">
        <v>3.15</v>
      </c>
      <c r="E5" s="155">
        <f t="shared" si="0"/>
        <v>0.72450000000000003</v>
      </c>
    </row>
    <row r="6" spans="1:5" x14ac:dyDescent="0.25">
      <c r="A6" s="52">
        <v>20</v>
      </c>
      <c r="B6" s="52">
        <v>4.5999999999999996</v>
      </c>
      <c r="D6" s="155">
        <v>4</v>
      </c>
      <c r="E6" s="155">
        <f t="shared" si="0"/>
        <v>0.92</v>
      </c>
    </row>
    <row r="7" spans="1:5" x14ac:dyDescent="0.25">
      <c r="A7" s="52">
        <v>25</v>
      </c>
      <c r="B7" s="52">
        <v>6</v>
      </c>
      <c r="D7" s="155">
        <v>5</v>
      </c>
      <c r="E7" s="155">
        <f t="shared" si="0"/>
        <v>1.1500000000000001</v>
      </c>
    </row>
    <row r="8" spans="1:5" x14ac:dyDescent="0.25">
      <c r="A8" s="52">
        <v>31.5</v>
      </c>
      <c r="B8" s="52">
        <v>7.5</v>
      </c>
      <c r="D8" s="155">
        <v>6.3</v>
      </c>
      <c r="E8" s="155">
        <f>0.23*D8</f>
        <v>1.4490000000000001</v>
      </c>
    </row>
    <row r="9" spans="1:5" x14ac:dyDescent="0.25">
      <c r="A9" s="52">
        <v>40</v>
      </c>
      <c r="B9" s="52">
        <v>9</v>
      </c>
    </row>
    <row r="10" spans="1:5" x14ac:dyDescent="0.25">
      <c r="A10" s="52">
        <v>50</v>
      </c>
      <c r="B10" s="52">
        <v>11.5</v>
      </c>
    </row>
    <row r="11" spans="1:5" x14ac:dyDescent="0.25">
      <c r="A11" s="52">
        <v>63</v>
      </c>
      <c r="B11" s="52">
        <v>14.6</v>
      </c>
    </row>
    <row r="12" spans="1:5" x14ac:dyDescent="0.25">
      <c r="A12" s="52">
        <v>80</v>
      </c>
      <c r="B12" s="52">
        <v>18.3</v>
      </c>
    </row>
    <row r="13" spans="1:5" x14ac:dyDescent="0.25">
      <c r="A13" s="52">
        <v>100</v>
      </c>
      <c r="B13" s="52">
        <v>23</v>
      </c>
    </row>
    <row r="14" spans="1:5" x14ac:dyDescent="0.25">
      <c r="A14" s="52">
        <v>125</v>
      </c>
      <c r="B14" s="52">
        <v>29</v>
      </c>
    </row>
    <row r="15" spans="1:5" x14ac:dyDescent="0.25">
      <c r="A15" s="52">
        <v>160</v>
      </c>
      <c r="B15" s="52">
        <v>37</v>
      </c>
    </row>
    <row r="16" spans="1:5" x14ac:dyDescent="0.25">
      <c r="A16" s="52">
        <v>200</v>
      </c>
      <c r="B16" s="52">
        <v>46</v>
      </c>
    </row>
    <row r="17" spans="1:2" x14ac:dyDescent="0.25">
      <c r="A17" s="52">
        <v>250</v>
      </c>
      <c r="B17" s="52">
        <v>58</v>
      </c>
    </row>
    <row r="18" spans="1:2" x14ac:dyDescent="0.25">
      <c r="A18" s="52">
        <v>315</v>
      </c>
      <c r="B18" s="52">
        <v>73</v>
      </c>
    </row>
    <row r="19" spans="1:2" x14ac:dyDescent="0.25">
      <c r="A19" s="52">
        <v>400</v>
      </c>
      <c r="B19" s="52">
        <v>92</v>
      </c>
    </row>
    <row r="20" spans="1:2" x14ac:dyDescent="0.25">
      <c r="A20" s="52">
        <v>500</v>
      </c>
      <c r="B20" s="52">
        <v>115</v>
      </c>
    </row>
    <row r="21" spans="1:2" x14ac:dyDescent="0.25">
      <c r="A21" s="52">
        <v>630</v>
      </c>
      <c r="B21" s="52">
        <v>146</v>
      </c>
    </row>
    <row r="22" spans="1:2" x14ac:dyDescent="0.25">
      <c r="A22" s="52">
        <v>800</v>
      </c>
      <c r="B22" s="52">
        <v>183</v>
      </c>
    </row>
    <row r="23" spans="1:2" x14ac:dyDescent="0.25">
      <c r="A23" s="52">
        <v>1000</v>
      </c>
      <c r="B23" s="52">
        <v>230</v>
      </c>
    </row>
    <row r="24" spans="1:2" x14ac:dyDescent="0.25">
      <c r="A24" s="52">
        <v>1250</v>
      </c>
      <c r="B24" s="52">
        <v>290</v>
      </c>
    </row>
    <row r="25" spans="1:2" x14ac:dyDescent="0.25">
      <c r="A25" s="52">
        <v>1600</v>
      </c>
      <c r="B25" s="52">
        <v>365</v>
      </c>
    </row>
    <row r="26" spans="1:2" x14ac:dyDescent="0.25">
      <c r="A26" s="52">
        <v>2000</v>
      </c>
      <c r="B26" s="52">
        <v>461</v>
      </c>
    </row>
    <row r="27" spans="1:2" x14ac:dyDescent="0.25">
      <c r="A27" s="52">
        <v>2500</v>
      </c>
      <c r="B27" s="52">
        <v>578</v>
      </c>
    </row>
    <row r="28" spans="1:2" x14ac:dyDescent="0.25">
      <c r="A28" s="52">
        <v>3150</v>
      </c>
      <c r="B28" s="52">
        <v>730</v>
      </c>
    </row>
    <row r="29" spans="1:2" x14ac:dyDescent="0.25">
      <c r="A29" s="52">
        <v>4000</v>
      </c>
      <c r="B29" s="52">
        <v>919</v>
      </c>
    </row>
    <row r="30" spans="1:2" x14ac:dyDescent="0.25">
      <c r="A30" s="52">
        <v>5000</v>
      </c>
      <c r="B30" s="52">
        <v>1156</v>
      </c>
    </row>
    <row r="31" spans="1:2" x14ac:dyDescent="0.25">
      <c r="A31" s="52">
        <v>6300</v>
      </c>
      <c r="B31" s="52">
        <v>1456</v>
      </c>
    </row>
    <row r="32" spans="1:2" x14ac:dyDescent="0.25">
      <c r="A32" s="52">
        <v>8000</v>
      </c>
      <c r="B32" s="52">
        <v>1834</v>
      </c>
    </row>
    <row r="33" spans="1:2" x14ac:dyDescent="0.25">
      <c r="A33" s="52">
        <v>10000</v>
      </c>
      <c r="B33" s="52">
        <v>2307</v>
      </c>
    </row>
    <row r="34" spans="1:2" x14ac:dyDescent="0.25">
      <c r="A34" s="52">
        <v>12500</v>
      </c>
      <c r="B34" s="52">
        <v>2910</v>
      </c>
    </row>
    <row r="35" spans="1:2" x14ac:dyDescent="0.25">
      <c r="A35" s="52">
        <v>16000</v>
      </c>
      <c r="B35" s="52">
        <v>3650</v>
      </c>
    </row>
    <row r="36" spans="1:2" x14ac:dyDescent="0.25">
      <c r="A36" s="52">
        <v>20000</v>
      </c>
      <c r="B36" s="52">
        <v>4610</v>
      </c>
    </row>
  </sheetData>
  <sheetProtection algorithmName="SHA-512" hashValue="nJWtOxyWgGMlAhCcgPHiP9KqqUSn2Q9VS3JdSADnsCdOYYepQOjn9oC4pr7PAI9Ku+awr5ZKuXsP2JJFDXN3ZQ==" saltValue="VSqL+GaX/+xJwNzpawgiS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0513EB300CB3459B2F698E4578A47E" ma:contentTypeVersion="12" ma:contentTypeDescription="Create a new document." ma:contentTypeScope="" ma:versionID="9b9a89d7aacedc87857fd458c77f4b1e">
  <xsd:schema xmlns:xsd="http://www.w3.org/2001/XMLSchema" xmlns:xs="http://www.w3.org/2001/XMLSchema" xmlns:p="http://schemas.microsoft.com/office/2006/metadata/properties" xmlns:ns2="912bf72a-e8bc-4131-aaa1-0ebdf0efe549" xmlns:ns3="2550289c-cd33-42d3-be7b-4f59eea379c2" targetNamespace="http://schemas.microsoft.com/office/2006/metadata/properties" ma:root="true" ma:fieldsID="4f30849eca6db5e5a922010681883f37" ns2:_="" ns3:_="">
    <xsd:import namespace="912bf72a-e8bc-4131-aaa1-0ebdf0efe549"/>
    <xsd:import namespace="2550289c-cd33-42d3-be7b-4f59eea379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bf72a-e8bc-4131-aaa1-0ebdf0efe5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0289c-cd33-42d3-be7b-4f59eea379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7295BD-DD09-4642-9571-E6D4A4A428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ACE9F8-DA18-4CD2-983A-707887C71559}">
  <ds:schemaRefs>
    <ds:schemaRef ds:uri="912bf72a-e8bc-4131-aaa1-0ebdf0efe54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550289c-cd33-42d3-be7b-4f59eea379c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CB5196-AD33-4239-87CC-AFA6ACE32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bf72a-e8bc-4131-aaa1-0ebdf0efe549"/>
    <ds:schemaRef ds:uri="2550289c-cd33-42d3-be7b-4f59eea379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 F - Revised isopleth calcu </vt:lpstr>
      <vt:lpstr>Tab F1 - Unit conversion</vt:lpstr>
      <vt:lpstr>Tab F2 - wtd SEL calculator</vt:lpstr>
      <vt:lpstr>Tab F3 - Wtg Values Table</vt:lpstr>
      <vt:lpstr>Tab F4 - TOB Center Freq Calc</vt:lpstr>
      <vt:lpstr>Tab F5 - TOB Factor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 Scholik</cp:lastModifiedBy>
  <dcterms:created xsi:type="dcterms:W3CDTF">2019-03-19T19:59:54Z</dcterms:created>
  <dcterms:modified xsi:type="dcterms:W3CDTF">2021-02-03T17:50:32Z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0x010100720513EB300CB3459B2F698E4578A47E</vt:lpwstr>
  </property>
</Properties>
</file>